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45" windowWidth="24375" windowHeight="11700"/>
  </bookViews>
  <sheets>
    <sheet name="SFH ANALYSIS" sheetId="1" r:id="rId1"/>
  </sheets>
  <calcPr calcId="125725"/>
</workbook>
</file>

<file path=xl/calcChain.xml><?xml version="1.0" encoding="utf-8"?>
<calcChain xmlns="http://schemas.openxmlformats.org/spreadsheetml/2006/main">
  <c r="AI18" i="1"/>
  <c r="W18"/>
  <c r="X18"/>
  <c r="Y18"/>
  <c r="Z18"/>
  <c r="AA18"/>
  <c r="AB18"/>
  <c r="AC18"/>
  <c r="AD18"/>
  <c r="AE18"/>
  <c r="AF18"/>
  <c r="AG18"/>
  <c r="AH18"/>
  <c r="V18"/>
  <c r="U18"/>
  <c r="T18"/>
  <c r="M18"/>
  <c r="N18"/>
  <c r="O18"/>
  <c r="P18"/>
  <c r="Q18"/>
  <c r="R18"/>
  <c r="S18"/>
  <c r="L18"/>
  <c r="K18"/>
  <c r="J18"/>
  <c r="H18"/>
  <c r="I18"/>
  <c r="G18"/>
  <c r="F32"/>
  <c r="F31"/>
  <c r="F28"/>
  <c r="F27"/>
  <c r="F26"/>
  <c r="F25"/>
  <c r="F24"/>
  <c r="F23"/>
  <c r="F18"/>
  <c r="E18"/>
  <c r="E19"/>
  <c r="E17"/>
  <c r="F17" s="1"/>
  <c r="E20"/>
  <c r="AI13"/>
  <c r="AH13"/>
  <c r="AG13"/>
  <c r="AF13"/>
  <c r="AE13"/>
  <c r="AD13"/>
  <c r="AC13"/>
  <c r="AB13"/>
  <c r="AA13"/>
  <c r="Z13"/>
  <c r="Y13"/>
  <c r="X13"/>
  <c r="W13"/>
  <c r="U13"/>
  <c r="T13"/>
  <c r="S13"/>
  <c r="R13"/>
  <c r="Q13"/>
  <c r="P13"/>
  <c r="O13"/>
  <c r="N13"/>
  <c r="M13"/>
  <c r="L13"/>
  <c r="K13"/>
  <c r="J13"/>
  <c r="I13"/>
  <c r="H13"/>
  <c r="G13"/>
  <c r="G30" s="1"/>
  <c r="H30" s="1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AI12"/>
  <c r="AH12"/>
  <c r="AG12"/>
  <c r="AF12"/>
  <c r="AE12"/>
  <c r="AD12"/>
  <c r="AC12"/>
  <c r="AB12"/>
  <c r="AA12"/>
  <c r="Z12"/>
  <c r="Y12"/>
  <c r="X12"/>
  <c r="W12"/>
  <c r="U12"/>
  <c r="T12"/>
  <c r="S12"/>
  <c r="R12"/>
  <c r="Q12"/>
  <c r="P12"/>
  <c r="O12"/>
  <c r="N12"/>
  <c r="M12"/>
  <c r="L12"/>
  <c r="K12"/>
  <c r="J12"/>
  <c r="I12"/>
  <c r="H12"/>
  <c r="G12"/>
  <c r="V12" s="1"/>
  <c r="D7"/>
  <c r="D8" s="1"/>
  <c r="H5"/>
  <c r="H9"/>
  <c r="D5"/>
  <c r="H4"/>
  <c r="D4"/>
  <c r="AH43"/>
  <c r="AF43"/>
  <c r="AD43"/>
  <c r="AB43"/>
  <c r="Z43"/>
  <c r="X43"/>
  <c r="V43"/>
  <c r="T43"/>
  <c r="R43"/>
  <c r="P43"/>
  <c r="N43"/>
  <c r="L43"/>
  <c r="J43"/>
  <c r="H43"/>
  <c r="F43"/>
  <c r="F50" s="1"/>
  <c r="F51" s="1"/>
  <c r="AI43"/>
  <c r="AG43"/>
  <c r="AE43"/>
  <c r="AC43"/>
  <c r="AA43"/>
  <c r="Y43"/>
  <c r="W43"/>
  <c r="U43"/>
  <c r="S43"/>
  <c r="Q43"/>
  <c r="O43"/>
  <c r="M43"/>
  <c r="K43"/>
  <c r="I43"/>
  <c r="G43"/>
  <c r="G50" s="1"/>
  <c r="G32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H8"/>
  <c r="E40" s="1"/>
  <c r="F40" s="1"/>
  <c r="G40" s="1"/>
  <c r="H40" s="1"/>
  <c r="I40" s="1"/>
  <c r="J40" s="1"/>
  <c r="K40" s="1"/>
  <c r="L40" s="1"/>
  <c r="M40" s="1"/>
  <c r="N40" s="1"/>
  <c r="O40" s="1"/>
  <c r="P40" s="1"/>
  <c r="Q40" s="1"/>
  <c r="R40" s="1"/>
  <c r="S40" s="1"/>
  <c r="T40" s="1"/>
  <c r="U40" s="1"/>
  <c r="V40" s="1"/>
  <c r="W40" s="1"/>
  <c r="X40" s="1"/>
  <c r="Y40" s="1"/>
  <c r="Z40" s="1"/>
  <c r="AA40" s="1"/>
  <c r="AB40" s="1"/>
  <c r="AC40" s="1"/>
  <c r="AD40" s="1"/>
  <c r="AE40" s="1"/>
  <c r="AF40" s="1"/>
  <c r="AG40" s="1"/>
  <c r="AH40" s="1"/>
  <c r="AI40" s="1"/>
  <c r="V13"/>
  <c r="G23"/>
  <c r="G31"/>
  <c r="H31" s="1"/>
  <c r="I31" s="1"/>
  <c r="J31" s="1"/>
  <c r="K31" s="1"/>
  <c r="L31" s="1"/>
  <c r="M31" s="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H23"/>
  <c r="I23"/>
  <c r="J23"/>
  <c r="K23"/>
  <c r="L23"/>
  <c r="M23"/>
  <c r="N23" s="1"/>
  <c r="O23" s="1"/>
  <c r="P23" s="1"/>
  <c r="Q23" s="1"/>
  <c r="R23" s="1"/>
  <c r="S23" s="1"/>
  <c r="T23" s="1"/>
  <c r="U23" s="1"/>
  <c r="V23" s="1"/>
  <c r="W23" s="1"/>
  <c r="X23" s="1"/>
  <c r="Y23" s="1"/>
  <c r="Z23" s="1"/>
  <c r="AA23" s="1"/>
  <c r="AB23" s="1"/>
  <c r="AC23" s="1"/>
  <c r="AD23" s="1"/>
  <c r="G17" l="1"/>
  <c r="F19"/>
  <c r="F20"/>
  <c r="AE23"/>
  <c r="AF23" s="1"/>
  <c r="AG23" s="1"/>
  <c r="AH23" s="1"/>
  <c r="AI23" s="1"/>
  <c r="G51"/>
  <c r="H50"/>
  <c r="G24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G25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G26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G27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G28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H51" l="1"/>
  <c r="I50"/>
  <c r="F29"/>
  <c r="F33" s="1"/>
  <c r="F34" s="1"/>
  <c r="H17"/>
  <c r="G19"/>
  <c r="G20" s="1"/>
  <c r="G29" s="1"/>
  <c r="G33" s="1"/>
  <c r="G34" s="1"/>
  <c r="G36"/>
  <c r="G39" s="1"/>
  <c r="I17" l="1"/>
  <c r="H19"/>
  <c r="H20" s="1"/>
  <c r="F36"/>
  <c r="F39" s="1"/>
  <c r="J50"/>
  <c r="I51"/>
  <c r="G41"/>
  <c r="G47"/>
  <c r="H29" l="1"/>
  <c r="H33" s="1"/>
  <c r="H34" s="1"/>
  <c r="K50"/>
  <c r="J51"/>
  <c r="J17"/>
  <c r="I19"/>
  <c r="I20" s="1"/>
  <c r="F47"/>
  <c r="E39"/>
  <c r="E41" s="1"/>
  <c r="F41"/>
  <c r="G44"/>
  <c r="G45" s="1"/>
  <c r="G42"/>
  <c r="F42" l="1"/>
  <c r="L8" s="1"/>
  <c r="L7"/>
  <c r="F44"/>
  <c r="F45" s="1"/>
  <c r="L9" s="1"/>
  <c r="J19"/>
  <c r="J20" s="1"/>
  <c r="K17"/>
  <c r="L50"/>
  <c r="K51"/>
  <c r="I29"/>
  <c r="I33" s="1"/>
  <c r="I34" s="1"/>
  <c r="I36"/>
  <c r="I39" s="1"/>
  <c r="H36"/>
  <c r="H39" s="1"/>
  <c r="J29" l="1"/>
  <c r="J33" s="1"/>
  <c r="J34" s="1"/>
  <c r="J36"/>
  <c r="J39" s="1"/>
  <c r="I47"/>
  <c r="I41"/>
  <c r="L17"/>
  <c r="K19"/>
  <c r="K20" s="1"/>
  <c r="H41"/>
  <c r="H47"/>
  <c r="L51"/>
  <c r="M50"/>
  <c r="M51" l="1"/>
  <c r="N50"/>
  <c r="K29"/>
  <c r="K33" s="1"/>
  <c r="K34" s="1"/>
  <c r="K36"/>
  <c r="K39" s="1"/>
  <c r="I44"/>
  <c r="I45" s="1"/>
  <c r="I42"/>
  <c r="J41"/>
  <c r="J47"/>
  <c r="H42"/>
  <c r="H44"/>
  <c r="H45" s="1"/>
  <c r="M17"/>
  <c r="L19"/>
  <c r="L20" s="1"/>
  <c r="L29" l="1"/>
  <c r="L33" s="1"/>
  <c r="L34" s="1"/>
  <c r="L36"/>
  <c r="L39" s="1"/>
  <c r="K41"/>
  <c r="K47"/>
  <c r="O50"/>
  <c r="N51"/>
  <c r="M19"/>
  <c r="M20" s="1"/>
  <c r="N17"/>
  <c r="J44"/>
  <c r="J45" s="1"/>
  <c r="J42"/>
  <c r="N19" l="1"/>
  <c r="N20"/>
  <c r="O17"/>
  <c r="L47"/>
  <c r="L41"/>
  <c r="M29"/>
  <c r="M33" s="1"/>
  <c r="M34" s="1"/>
  <c r="P50"/>
  <c r="O51"/>
  <c r="K44"/>
  <c r="K45" s="1"/>
  <c r="K42"/>
  <c r="P51" l="1"/>
  <c r="Q50"/>
  <c r="N29"/>
  <c r="N33" s="1"/>
  <c r="N34" s="1"/>
  <c r="N36"/>
  <c r="N39" s="1"/>
  <c r="L42"/>
  <c r="L44"/>
  <c r="L45" s="1"/>
  <c r="P17"/>
  <c r="O19"/>
  <c r="O20" s="1"/>
  <c r="M36"/>
  <c r="M39" s="1"/>
  <c r="O29" l="1"/>
  <c r="O33" s="1"/>
  <c r="O34" s="1"/>
  <c r="O36"/>
  <c r="O39" s="1"/>
  <c r="N47"/>
  <c r="N41"/>
  <c r="Q51"/>
  <c r="R50"/>
  <c r="M47"/>
  <c r="M41"/>
  <c r="Q17"/>
  <c r="P19"/>
  <c r="P20" s="1"/>
  <c r="P29" l="1"/>
  <c r="P33" s="1"/>
  <c r="P34" s="1"/>
  <c r="M44"/>
  <c r="M45" s="1"/>
  <c r="M42"/>
  <c r="S50"/>
  <c r="R51"/>
  <c r="N42"/>
  <c r="N44"/>
  <c r="N45" s="1"/>
  <c r="O47"/>
  <c r="O41"/>
  <c r="Q19"/>
  <c r="Q20" s="1"/>
  <c r="R17"/>
  <c r="T50" l="1"/>
  <c r="S51"/>
  <c r="Q29"/>
  <c r="Q33" s="1"/>
  <c r="Q34" s="1"/>
  <c r="R19"/>
  <c r="R20" s="1"/>
  <c r="S17"/>
  <c r="O44"/>
  <c r="O45" s="1"/>
  <c r="O42"/>
  <c r="P36"/>
  <c r="P39" s="1"/>
  <c r="R29" l="1"/>
  <c r="R33" s="1"/>
  <c r="R34" s="1"/>
  <c r="S19"/>
  <c r="S20" s="1"/>
  <c r="T17"/>
  <c r="T51"/>
  <c r="U50"/>
  <c r="P47"/>
  <c r="P41"/>
  <c r="Q36"/>
  <c r="Q39" s="1"/>
  <c r="S29" l="1"/>
  <c r="S33" s="1"/>
  <c r="S34" s="1"/>
  <c r="P42"/>
  <c r="P44"/>
  <c r="P45" s="1"/>
  <c r="U17"/>
  <c r="T19"/>
  <c r="T20"/>
  <c r="U51"/>
  <c r="V50"/>
  <c r="Q47"/>
  <c r="Q41"/>
  <c r="R36"/>
  <c r="R39" s="1"/>
  <c r="W50" l="1"/>
  <c r="V51"/>
  <c r="U19"/>
  <c r="U20" s="1"/>
  <c r="V17"/>
  <c r="Q42"/>
  <c r="Q44"/>
  <c r="Q45" s="1"/>
  <c r="T29"/>
  <c r="T33" s="1"/>
  <c r="T34" s="1"/>
  <c r="R41"/>
  <c r="R47"/>
  <c r="S36"/>
  <c r="S39" s="1"/>
  <c r="S41" l="1"/>
  <c r="S47"/>
  <c r="R42"/>
  <c r="R44"/>
  <c r="R45" s="1"/>
  <c r="U29"/>
  <c r="U33" s="1"/>
  <c r="U34" s="1"/>
  <c r="X50"/>
  <c r="W51"/>
  <c r="V19"/>
  <c r="V20" s="1"/>
  <c r="W17"/>
  <c r="T36"/>
  <c r="T39" s="1"/>
  <c r="V29" l="1"/>
  <c r="V33" s="1"/>
  <c r="V34" s="1"/>
  <c r="X17"/>
  <c r="W19"/>
  <c r="W20" s="1"/>
  <c r="S42"/>
  <c r="S44"/>
  <c r="S45" s="1"/>
  <c r="X51"/>
  <c r="Y50"/>
  <c r="T47"/>
  <c r="T41"/>
  <c r="U36"/>
  <c r="U39" s="1"/>
  <c r="U47" l="1"/>
  <c r="U41"/>
  <c r="Y17"/>
  <c r="X19"/>
  <c r="X20"/>
  <c r="T42"/>
  <c r="T44"/>
  <c r="T45" s="1"/>
  <c r="Y51"/>
  <c r="Z50"/>
  <c r="W29"/>
  <c r="W33" s="1"/>
  <c r="W34" s="1"/>
  <c r="V36"/>
  <c r="V39" s="1"/>
  <c r="Z17" l="1"/>
  <c r="Y19"/>
  <c r="Y20" s="1"/>
  <c r="AA50"/>
  <c r="Z51"/>
  <c r="X29"/>
  <c r="X33" s="1"/>
  <c r="X34" s="1"/>
  <c r="V41"/>
  <c r="V47"/>
  <c r="U44"/>
  <c r="U45" s="1"/>
  <c r="U42"/>
  <c r="W36"/>
  <c r="W39" s="1"/>
  <c r="W47" l="1"/>
  <c r="W41"/>
  <c r="V42"/>
  <c r="V44"/>
  <c r="V45" s="1"/>
  <c r="AB50"/>
  <c r="AA51"/>
  <c r="Z19"/>
  <c r="Z20" s="1"/>
  <c r="AA17"/>
  <c r="Y29"/>
  <c r="Y33" s="1"/>
  <c r="Y34" s="1"/>
  <c r="X36"/>
  <c r="X39" s="1"/>
  <c r="Z29" l="1"/>
  <c r="Z33" s="1"/>
  <c r="Z34" s="1"/>
  <c r="AC50"/>
  <c r="AB51"/>
  <c r="AA19"/>
  <c r="AA20" s="1"/>
  <c r="AB17"/>
  <c r="X41"/>
  <c r="X47"/>
  <c r="W42"/>
  <c r="W44"/>
  <c r="W45" s="1"/>
  <c r="Y36"/>
  <c r="Y39" s="1"/>
  <c r="AA29" l="1"/>
  <c r="AA33" s="1"/>
  <c r="AA34" s="1"/>
  <c r="Y41"/>
  <c r="Y47"/>
  <c r="X42"/>
  <c r="X44"/>
  <c r="X45" s="1"/>
  <c r="AC51"/>
  <c r="AD50"/>
  <c r="AB19"/>
  <c r="AB20" s="1"/>
  <c r="AC17"/>
  <c r="Z36"/>
  <c r="Z39" s="1"/>
  <c r="AB29" l="1"/>
  <c r="AB33" s="1"/>
  <c r="AB34" s="1"/>
  <c r="AD17"/>
  <c r="AC19"/>
  <c r="AC20" s="1"/>
  <c r="Y42"/>
  <c r="Y44"/>
  <c r="Y45" s="1"/>
  <c r="Z47"/>
  <c r="Z41"/>
  <c r="AE50"/>
  <c r="AD51"/>
  <c r="AA36"/>
  <c r="AA39" s="1"/>
  <c r="AA47" l="1"/>
  <c r="AA41"/>
  <c r="AE51"/>
  <c r="AF50"/>
  <c r="AD19"/>
  <c r="AD20" s="1"/>
  <c r="AE17"/>
  <c r="Z42"/>
  <c r="Z44"/>
  <c r="Z45" s="1"/>
  <c r="AC29"/>
  <c r="AC33" s="1"/>
  <c r="AC34" s="1"/>
  <c r="AB36"/>
  <c r="AB39" s="1"/>
  <c r="AD29" l="1"/>
  <c r="AD33" s="1"/>
  <c r="AD34" s="1"/>
  <c r="AF17"/>
  <c r="AE19"/>
  <c r="AE20" s="1"/>
  <c r="AB47"/>
  <c r="AB41"/>
  <c r="AF51"/>
  <c r="AG50"/>
  <c r="AA42"/>
  <c r="AA44"/>
  <c r="AA45" s="1"/>
  <c r="AC36"/>
  <c r="AC39" s="1"/>
  <c r="AC41" l="1"/>
  <c r="AC47"/>
  <c r="AG17"/>
  <c r="AF19"/>
  <c r="AF20"/>
  <c r="AD36"/>
  <c r="AD39" s="1"/>
  <c r="AG51"/>
  <c r="AH50"/>
  <c r="AB42"/>
  <c r="AB44"/>
  <c r="AB45" s="1"/>
  <c r="AE29"/>
  <c r="AE33" s="1"/>
  <c r="AE34" s="1"/>
  <c r="AF29" l="1"/>
  <c r="AF33" s="1"/>
  <c r="AF34" s="1"/>
  <c r="AG19"/>
  <c r="AH17"/>
  <c r="AG20"/>
  <c r="AC42"/>
  <c r="AC44"/>
  <c r="AC45" s="1"/>
  <c r="AI50"/>
  <c r="AI51" s="1"/>
  <c r="AH51"/>
  <c r="AD47"/>
  <c r="AD41"/>
  <c r="AE36"/>
  <c r="AE39" s="1"/>
  <c r="AD42" l="1"/>
  <c r="AD44"/>
  <c r="AD45" s="1"/>
  <c r="AG29"/>
  <c r="AG33" s="1"/>
  <c r="AG34" s="1"/>
  <c r="AE47"/>
  <c r="AE41"/>
  <c r="AI17"/>
  <c r="AI19" s="1"/>
  <c r="AI20" s="1"/>
  <c r="AH19"/>
  <c r="AH20"/>
  <c r="AF36"/>
  <c r="AF39" s="1"/>
  <c r="AH29" l="1"/>
  <c r="AH33" s="1"/>
  <c r="AH34" s="1"/>
  <c r="AI29"/>
  <c r="AI33" s="1"/>
  <c r="AI34" s="1"/>
  <c r="AF47"/>
  <c r="AF41"/>
  <c r="AE44"/>
  <c r="AE45" s="1"/>
  <c r="AE42"/>
  <c r="AG36"/>
  <c r="AG39" s="1"/>
  <c r="AG47" l="1"/>
  <c r="AG41"/>
  <c r="AF42"/>
  <c r="AF44"/>
  <c r="AF45" s="1"/>
  <c r="AI36"/>
  <c r="AI39" s="1"/>
  <c r="AH36"/>
  <c r="AH39" s="1"/>
  <c r="AI41" l="1"/>
  <c r="AI47"/>
  <c r="AH47"/>
  <c r="AH41"/>
  <c r="AG42"/>
  <c r="AG44"/>
  <c r="AG45" s="1"/>
  <c r="AI42" l="1"/>
  <c r="AI44"/>
  <c r="AI45" s="1"/>
  <c r="AH44"/>
  <c r="AH45" s="1"/>
  <c r="AH42"/>
</calcChain>
</file>

<file path=xl/sharedStrings.xml><?xml version="1.0" encoding="utf-8"?>
<sst xmlns="http://schemas.openxmlformats.org/spreadsheetml/2006/main" count="125" uniqueCount="85">
  <si>
    <t>Cost Assumptions</t>
  </si>
  <si>
    <t>Financing Assumptions</t>
  </si>
  <si>
    <t>Revenue Assumptions</t>
  </si>
  <si>
    <t>Purchase Price</t>
  </si>
  <si>
    <t>Downpayment</t>
  </si>
  <si>
    <t>Monthly Rent</t>
  </si>
  <si>
    <t>Land Value (25%)</t>
  </si>
  <si>
    <t>Finance Amt</t>
  </si>
  <si>
    <t>Vacancy Rate</t>
  </si>
  <si>
    <t>Building Value (75%)</t>
  </si>
  <si>
    <t>Downpayment Amt</t>
  </si>
  <si>
    <t>Improvements</t>
  </si>
  <si>
    <t>Interest Rate</t>
  </si>
  <si>
    <t>Closing Costs</t>
  </si>
  <si>
    <t>Mortgage (Years)</t>
  </si>
  <si>
    <t>Annual Cash Flow</t>
  </si>
  <si>
    <t xml:space="preserve">Total Cost </t>
  </si>
  <si>
    <t>Mortgage Payment</t>
  </si>
  <si>
    <t>Cash ROI</t>
  </si>
  <si>
    <t>Cash Outlay</t>
  </si>
  <si>
    <t>Total ROI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</si>
  <si>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</si>
  <si>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</si>
  <si>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</si>
  <si>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</si>
  <si>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</si>
  <si>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</si>
  <si>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</si>
  <si>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</si>
  <si>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</si>
  <si>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</si>
  <si>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</si>
  <si>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</si>
  <si>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</si>
  <si>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</si>
  <si>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</si>
  <si>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</si>
  <si>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</si>
  <si>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</si>
  <si>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</si>
  <si>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</si>
  <si>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</si>
  <si>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</si>
  <si>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</si>
  <si>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</si>
  <si>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</si>
  <si>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</si>
  <si>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</si>
  <si>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</si>
  <si>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</si>
  <si>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</si>
  <si>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Annual Revenue Increase</t>
  </si>
  <si>
    <t>Annual Operating Expense Increase</t>
  </si>
  <si>
    <t>Monthly</t>
  </si>
  <si>
    <t>Revenues</t>
  </si>
  <si>
    <t>Rental Income</t>
  </si>
  <si>
    <t>Vacancy/Loss Rate</t>
  </si>
  <si>
    <t>Vacancy/Loss Value</t>
  </si>
  <si>
    <t>Gross Income</t>
  </si>
  <si>
    <t>Expenses</t>
  </si>
  <si>
    <t>Property Taxes</t>
  </si>
  <si>
    <t>Annual</t>
  </si>
  <si>
    <t>Insurance</t>
  </si>
  <si>
    <t>Maintenance &amp; Repairs</t>
  </si>
  <si>
    <t>Utilities</t>
  </si>
  <si>
    <t>Advertising</t>
  </si>
  <si>
    <t>Administrative</t>
  </si>
  <si>
    <t>Variable Cost PM</t>
  </si>
  <si>
    <t>(% Income)</t>
  </si>
  <si>
    <t>Fixed Cost PM</t>
  </si>
  <si>
    <t>Other 1</t>
  </si>
  <si>
    <t>Other 2</t>
  </si>
  <si>
    <t>Total Expenses</t>
  </si>
  <si>
    <t>Net Operating Income (NOI)</t>
  </si>
  <si>
    <t>Cash Flow</t>
  </si>
  <si>
    <t>NOI (Cash Available)</t>
  </si>
  <si>
    <t>Mortgage</t>
  </si>
  <si>
    <t>Total Cash Flow</t>
  </si>
  <si>
    <t>Equity Accrued</t>
  </si>
  <si>
    <t>Total Return</t>
  </si>
  <si>
    <t>Cash Flow / Mortgage Ratio</t>
  </si>
  <si>
    <t>Total Equity Accrued</t>
  </si>
  <si>
    <t>Loan Payoff Amount</t>
  </si>
  <si>
    <t>Expenses (Incl Vacancy) as % of Gross Income</t>
  </si>
  <si>
    <t>Cash Flow &amp; ROI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</si>
</sst>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0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163">
    <xf numFmtId="0" fontId="0" fillId="0" borderId="0" xfId="0"/>
    <xf numFmtId="0" fontId="2" fillId="0" borderId="4" xfId="0" applyFont="1" applyBorder="1"/>
    <xf numFmtId="0" fontId="2" fillId="0" borderId="0" xfId="0" applyFont="1" applyBorder="1"/>
    <xf numFmtId="6" fontId="3" fillId="0" borderId="5" xfId="0" applyNumberFormat="1" applyFont="1" applyBorder="1"/>
    <xf numFmtId="9" fontId="3" fillId="0" borderId="5" xfId="0" applyNumberFormat="1" applyFont="1" applyBorder="1"/>
    <xf numFmtId="164" fontId="3" fillId="0" borderId="5" xfId="0" applyNumberFormat="1" applyFont="1" applyBorder="1"/>
    <xf numFmtId="6" fontId="2" fillId="0" borderId="5" xfId="0" applyNumberFormat="1" applyFont="1" applyBorder="1"/>
    <xf numFmtId="164" fontId="2" fillId="0" borderId="5" xfId="0" applyNumberFormat="1" applyFont="1" applyBorder="1"/>
    <xf numFmtId="0" fontId="2" fillId="0" borderId="9" xfId="0" applyFont="1" applyBorder="1" applyAlignment="1"/>
    <xf numFmtId="9" fontId="3" fillId="0" borderId="9" xfId="0" applyNumberFormat="1" applyFont="1" applyBorder="1"/>
    <xf numFmtId="165" fontId="3" fillId="0" borderId="5" xfId="0" applyNumberFormat="1" applyFont="1" applyBorder="1"/>
    <xf numFmtId="1" fontId="3" fillId="0" borderId="5" xfId="0" applyNumberFormat="1" applyFont="1" applyBorder="1"/>
    <xf numFmtId="0" fontId="2" fillId="0" borderId="0" xfId="0" applyFont="1" applyFill="1" applyBorder="1" applyAlignment="1"/>
    <xf numFmtId="6" fontId="1" fillId="0" borderId="11" xfId="0" applyNumberFormat="1" applyFont="1" applyBorder="1"/>
    <xf numFmtId="0" fontId="2" fillId="0" borderId="4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left" indent="1"/>
    </xf>
    <xf numFmtId="6" fontId="1" fillId="0" borderId="0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5" fontId="1" fillId="0" borderId="11" xfId="0" applyNumberFormat="1" applyFont="1" applyBorder="1"/>
    <xf numFmtId="1" fontId="4" fillId="0" borderId="0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3" fillId="0" borderId="14" xfId="0" applyNumberFormat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165" fontId="2" fillId="0" borderId="17" xfId="0" applyNumberFormat="1" applyFont="1" applyBorder="1"/>
    <xf numFmtId="165" fontId="3" fillId="0" borderId="0" xfId="0" applyNumberFormat="1" applyFont="1" applyBorder="1"/>
    <xf numFmtId="0" fontId="1" fillId="3" borderId="17" xfId="0" applyFont="1" applyFill="1" applyBorder="1" applyAlignment="1">
      <alignment horizontal="center"/>
    </xf>
    <xf numFmtId="0" fontId="5" fillId="4" borderId="18" xfId="0" applyFont="1" applyFill="1" applyBorder="1"/>
    <xf numFmtId="0" fontId="2" fillId="4" borderId="19" xfId="0" applyFont="1" applyFill="1" applyBorder="1"/>
    <xf numFmtId="0" fontId="2" fillId="3" borderId="20" xfId="0" applyFont="1" applyFill="1" applyBorder="1"/>
    <xf numFmtId="0" fontId="2" fillId="4" borderId="21" xfId="0" applyFont="1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2" xfId="0" applyFill="1" applyBorder="1"/>
    <xf numFmtId="0" fontId="2" fillId="0" borderId="23" xfId="0" applyFont="1" applyBorder="1"/>
    <xf numFmtId="37" fontId="2" fillId="0" borderId="0" xfId="0" applyNumberFormat="1" applyFont="1" applyBorder="1"/>
    <xf numFmtId="37" fontId="2" fillId="3" borderId="24" xfId="0" applyNumberFormat="1" applyFont="1" applyFill="1" applyBorder="1"/>
    <xf numFmtId="37" fontId="2" fillId="0" borderId="5" xfId="0" applyNumberFormat="1" applyFont="1" applyBorder="1"/>
    <xf numFmtId="37" fontId="2" fillId="0" borderId="25" xfId="0" applyNumberFormat="1" applyFont="1" applyBorder="1"/>
    <xf numFmtId="9" fontId="2" fillId="0" borderId="0" xfId="0" applyNumberFormat="1" applyFont="1" applyBorder="1"/>
    <xf numFmtId="165" fontId="2" fillId="0" borderId="0" xfId="0" applyNumberFormat="1" applyFont="1" applyBorder="1"/>
    <xf numFmtId="0" fontId="1" fillId="0" borderId="26" xfId="0" applyFont="1" applyBorder="1" applyAlignment="1">
      <alignment horizontal="left" indent="1"/>
    </xf>
    <xf numFmtId="0" fontId="1" fillId="0" borderId="12" xfId="0" applyFont="1" applyBorder="1"/>
    <xf numFmtId="37" fontId="2" fillId="0" borderId="12" xfId="0" applyNumberFormat="1" applyFont="1" applyBorder="1"/>
    <xf numFmtId="37" fontId="1" fillId="3" borderId="27" xfId="0" applyNumberFormat="1" applyFont="1" applyFill="1" applyBorder="1"/>
    <xf numFmtId="37" fontId="1" fillId="0" borderId="12" xfId="0" applyNumberFormat="1" applyFont="1" applyBorder="1"/>
    <xf numFmtId="37" fontId="1" fillId="0" borderId="28" xfId="0" applyNumberFormat="1" applyFont="1" applyBorder="1"/>
    <xf numFmtId="37" fontId="1" fillId="0" borderId="29" xfId="0" applyNumberFormat="1" applyFont="1" applyBorder="1"/>
    <xf numFmtId="0" fontId="2" fillId="3" borderId="24" xfId="0" applyFont="1" applyFill="1" applyBorder="1"/>
    <xf numFmtId="0" fontId="2" fillId="0" borderId="5" xfId="0" applyFont="1" applyBorder="1"/>
    <xf numFmtId="0" fontId="0" fillId="0" borderId="0" xfId="0" applyBorder="1"/>
    <xf numFmtId="0" fontId="0" fillId="0" borderId="5" xfId="0" applyBorder="1"/>
    <xf numFmtId="0" fontId="5" fillId="5" borderId="18" xfId="0" applyFont="1" applyFill="1" applyBorder="1"/>
    <xf numFmtId="0" fontId="2" fillId="5" borderId="19" xfId="0" applyFont="1" applyFill="1" applyBorder="1"/>
    <xf numFmtId="0" fontId="2" fillId="5" borderId="21" xfId="0" applyFont="1" applyFill="1" applyBorder="1"/>
    <xf numFmtId="0" fontId="0" fillId="5" borderId="19" xfId="0" applyFill="1" applyBorder="1"/>
    <xf numFmtId="0" fontId="0" fillId="5" borderId="21" xfId="0" applyFill="1" applyBorder="1"/>
    <xf numFmtId="0" fontId="0" fillId="5" borderId="22" xfId="0" applyFill="1" applyBorder="1"/>
    <xf numFmtId="37" fontId="3" fillId="0" borderId="0" xfId="0" applyNumberFormat="1" applyFont="1" applyBorder="1"/>
    <xf numFmtId="9" fontId="3" fillId="0" borderId="0" xfId="0" applyNumberFormat="1" applyFont="1" applyBorder="1"/>
    <xf numFmtId="37" fontId="1" fillId="0" borderId="12" xfId="0" applyNumberFormat="1" applyFont="1" applyFill="1" applyBorder="1"/>
    <xf numFmtId="37" fontId="1" fillId="0" borderId="28" xfId="0" applyNumberFormat="1" applyFont="1" applyFill="1" applyBorder="1"/>
    <xf numFmtId="10" fontId="2" fillId="3" borderId="24" xfId="0" applyNumberFormat="1" applyFont="1" applyFill="1" applyBorder="1"/>
    <xf numFmtId="165" fontId="2" fillId="0" borderId="0" xfId="0" applyNumberFormat="1" applyFont="1"/>
    <xf numFmtId="165" fontId="2" fillId="0" borderId="21" xfId="0" applyNumberFormat="1" applyFont="1" applyBorder="1"/>
    <xf numFmtId="0" fontId="0" fillId="0" borderId="28" xfId="0" applyBorder="1"/>
    <xf numFmtId="0" fontId="1" fillId="6" borderId="13" xfId="0" applyFont="1" applyFill="1" applyBorder="1"/>
    <xf numFmtId="0" fontId="2" fillId="6" borderId="14" xfId="0" applyFont="1" applyFill="1" applyBorder="1"/>
    <xf numFmtId="0" fontId="1" fillId="6" borderId="14" xfId="0" applyFont="1" applyFill="1" applyBorder="1"/>
    <xf numFmtId="37" fontId="1" fillId="3" borderId="17" xfId="0" applyNumberFormat="1" applyFont="1" applyFill="1" applyBorder="1"/>
    <xf numFmtId="37" fontId="1" fillId="6" borderId="14" xfId="0" applyNumberFormat="1" applyFont="1" applyFill="1" applyBorder="1"/>
    <xf numFmtId="37" fontId="1" fillId="6" borderId="15" xfId="0" applyNumberFormat="1" applyFont="1" applyFill="1" applyBorder="1"/>
    <xf numFmtId="0" fontId="0" fillId="3" borderId="24" xfId="0" applyFill="1" applyBorder="1"/>
    <xf numFmtId="0" fontId="0" fillId="0" borderId="21" xfId="0" applyBorder="1"/>
    <xf numFmtId="0" fontId="2" fillId="7" borderId="19" xfId="0" applyFont="1" applyFill="1" applyBorder="1"/>
    <xf numFmtId="0" fontId="2" fillId="7" borderId="21" xfId="0" applyFont="1" applyFill="1" applyBorder="1"/>
    <xf numFmtId="0" fontId="0" fillId="7" borderId="19" xfId="0" applyFill="1" applyBorder="1"/>
    <xf numFmtId="0" fontId="0" fillId="7" borderId="21" xfId="0" applyFill="1" applyBorder="1"/>
    <xf numFmtId="0" fontId="0" fillId="7" borderId="22" xfId="0" applyFill="1" applyBorder="1"/>
    <xf numFmtId="0" fontId="1" fillId="0" borderId="23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6" fillId="0" borderId="0" xfId="0" applyFont="1" applyBorder="1"/>
    <xf numFmtId="37" fontId="1" fillId="0" borderId="0" xfId="0" applyNumberFormat="1" applyFont="1" applyBorder="1"/>
    <xf numFmtId="37" fontId="1" fillId="3" borderId="24" xfId="0" applyNumberFormat="1" applyFont="1" applyFill="1" applyBorder="1"/>
    <xf numFmtId="37" fontId="1" fillId="0" borderId="5" xfId="0" applyNumberFormat="1" applyFont="1" applyBorder="1"/>
    <xf numFmtId="37" fontId="1" fillId="0" borderId="25" xfId="0" applyNumberFormat="1" applyFont="1" applyBorder="1"/>
    <xf numFmtId="10" fontId="1" fillId="3" borderId="24" xfId="0" applyNumberFormat="1" applyFont="1" applyFill="1" applyBorder="1"/>
    <xf numFmtId="10" fontId="1" fillId="0" borderId="0" xfId="0" applyNumberFormat="1" applyFont="1" applyBorder="1"/>
    <xf numFmtId="10" fontId="1" fillId="0" borderId="5" xfId="0" applyNumberFormat="1" applyFont="1" applyBorder="1"/>
    <xf numFmtId="10" fontId="1" fillId="0" borderId="25" xfId="0" applyNumberFormat="1" applyFont="1" applyBorder="1"/>
    <xf numFmtId="0" fontId="2" fillId="0" borderId="19" xfId="0" applyFont="1" applyBorder="1" applyAlignment="1">
      <alignment horizontal="center"/>
    </xf>
    <xf numFmtId="37" fontId="2" fillId="0" borderId="19" xfId="0" applyNumberFormat="1" applyFont="1" applyBorder="1" applyAlignment="1">
      <alignment horizontal="center"/>
    </xf>
    <xf numFmtId="3" fontId="2" fillId="3" borderId="20" xfId="0" applyNumberFormat="1" applyFont="1" applyFill="1" applyBorder="1"/>
    <xf numFmtId="3" fontId="2" fillId="0" borderId="19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0" fontId="1" fillId="0" borderId="26" xfId="0" applyFont="1" applyFill="1" applyBorder="1" applyAlignment="1">
      <alignment horizontal="left" indent="1"/>
    </xf>
    <xf numFmtId="0" fontId="1" fillId="0" borderId="12" xfId="0" applyFont="1" applyFill="1" applyBorder="1" applyAlignment="1">
      <alignment horizontal="left" indent="1"/>
    </xf>
    <xf numFmtId="0" fontId="6" fillId="0" borderId="12" xfId="0" applyFont="1" applyBorder="1"/>
    <xf numFmtId="10" fontId="1" fillId="3" borderId="27" xfId="0" applyNumberFormat="1" applyFont="1" applyFill="1" applyBorder="1"/>
    <xf numFmtId="10" fontId="1" fillId="0" borderId="12" xfId="0" applyNumberFormat="1" applyFont="1" applyBorder="1"/>
    <xf numFmtId="10" fontId="1" fillId="0" borderId="28" xfId="0" applyNumberFormat="1" applyFont="1" applyBorder="1"/>
    <xf numFmtId="10" fontId="1" fillId="0" borderId="29" xfId="0" applyNumberFormat="1" applyFont="1" applyBorder="1"/>
    <xf numFmtId="37" fontId="0" fillId="0" borderId="0" xfId="0" applyNumberFormat="1"/>
    <xf numFmtId="37" fontId="0" fillId="3" borderId="24" xfId="0" applyNumberFormat="1" applyFill="1" applyBorder="1"/>
    <xf numFmtId="37" fontId="0" fillId="0" borderId="5" xfId="0" applyNumberFormat="1" applyBorder="1"/>
    <xf numFmtId="0" fontId="0" fillId="0" borderId="4" xfId="0" applyBorder="1"/>
    <xf numFmtId="0" fontId="1" fillId="0" borderId="13" xfId="0" applyFont="1" applyFill="1" applyBorder="1"/>
    <xf numFmtId="0" fontId="1" fillId="0" borderId="14" xfId="0" applyFont="1" applyFill="1" applyBorder="1"/>
    <xf numFmtId="0" fontId="7" fillId="0" borderId="14" xfId="0" applyFont="1" applyFill="1" applyBorder="1"/>
    <xf numFmtId="9" fontId="1" fillId="3" borderId="17" xfId="0" applyNumberFormat="1" applyFont="1" applyFill="1" applyBorder="1"/>
    <xf numFmtId="9" fontId="1" fillId="0" borderId="14" xfId="0" applyNumberFormat="1" applyFont="1" applyFill="1" applyBorder="1"/>
    <xf numFmtId="9" fontId="1" fillId="0" borderId="15" xfId="0" applyNumberFormat="1" applyFont="1" applyFill="1" applyBorder="1"/>
    <xf numFmtId="9" fontId="1" fillId="0" borderId="30" xfId="0" applyNumberFormat="1" applyFont="1" applyFill="1" applyBorder="1"/>
    <xf numFmtId="9" fontId="1" fillId="0" borderId="16" xfId="0" applyNumberFormat="1" applyFont="1" applyFill="1" applyBorder="1"/>
    <xf numFmtId="3" fontId="2" fillId="0" borderId="0" xfId="0" applyNumberFormat="1" applyFont="1"/>
    <xf numFmtId="164" fontId="2" fillId="0" borderId="0" xfId="0" applyNumberFormat="1" applyFont="1"/>
    <xf numFmtId="165" fontId="3" fillId="0" borderId="8" xfId="0" applyNumberFormat="1" applyFont="1" applyBorder="1"/>
    <xf numFmtId="0" fontId="8" fillId="0" borderId="0" xfId="0" applyFont="1"/>
    <xf numFmtId="165" fontId="2" fillId="0" borderId="25" xfId="0" applyNumberFormat="1" applyFont="1" applyBorder="1"/>
    <xf numFmtId="165" fontId="2" fillId="3" borderId="0" xfId="0" applyNumberFormat="1" applyFont="1" applyFill="1" applyBorder="1"/>
    <xf numFmtId="165" fontId="2" fillId="0" borderId="23" xfId="0" applyNumberFormat="1" applyFont="1" applyBorder="1"/>
    <xf numFmtId="165" fontId="2" fillId="0" borderId="5" xfId="0" applyNumberFormat="1" applyFont="1" applyBorder="1"/>
    <xf numFmtId="5" fontId="2" fillId="8" borderId="31" xfId="0" applyNumberFormat="1" applyFont="1" applyFill="1" applyBorder="1"/>
    <xf numFmtId="10" fontId="2" fillId="8" borderId="15" xfId="0" applyNumberFormat="1" applyFont="1" applyFill="1" applyBorder="1"/>
    <xf numFmtId="10" fontId="2" fillId="8" borderId="3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4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8" borderId="33" xfId="0" applyFont="1" applyFill="1" applyBorder="1" applyAlignment="1"/>
    <xf numFmtId="0" fontId="2" fillId="8" borderId="34" xfId="0" applyFont="1" applyFill="1" applyBorder="1" applyAlignment="1"/>
    <xf numFmtId="0" fontId="1" fillId="0" borderId="10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2" fillId="8" borderId="35" xfId="0" applyFont="1" applyFill="1" applyBorder="1" applyAlignment="1"/>
    <xf numFmtId="0" fontId="2" fillId="8" borderId="36" xfId="0" applyFont="1" applyFill="1" applyBorder="1" applyAlignment="1"/>
    <xf numFmtId="0" fontId="2" fillId="8" borderId="37" xfId="0" applyFont="1" applyFill="1" applyBorder="1" applyAlignment="1"/>
    <xf numFmtId="0" fontId="2" fillId="8" borderId="38" xfId="0" applyFont="1" applyFill="1" applyBorder="1" applyAlignment="1"/>
    <xf numFmtId="0" fontId="2" fillId="0" borderId="13" xfId="0" applyFont="1" applyBorder="1"/>
    <xf numFmtId="0" fontId="2" fillId="0" borderId="14" xfId="0" applyFont="1" applyBorder="1"/>
    <xf numFmtId="0" fontId="2" fillId="0" borderId="23" xfId="0" applyFont="1" applyBorder="1"/>
    <xf numFmtId="0" fontId="1" fillId="7" borderId="18" xfId="0" applyFont="1" applyFill="1" applyBorder="1"/>
    <xf numFmtId="0" fontId="1" fillId="7" borderId="19" xfId="0" applyFont="1" applyFill="1" applyBorder="1"/>
    <xf numFmtId="0" fontId="2" fillId="0" borderId="23" xfId="0" applyFont="1" applyFill="1" applyBorder="1"/>
    <xf numFmtId="0" fontId="2" fillId="0" borderId="0" xfId="0" applyFont="1" applyFill="1" applyBorder="1"/>
    <xf numFmtId="0" fontId="1" fillId="0" borderId="23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0" xfId="0" applyFont="1"/>
    <xf numFmtId="6" fontId="9" fillId="0" borderId="5" xfId="0" applyNumberFormat="1" applyFont="1" applyBorder="1"/>
  </cellXfs>
  <cellStyles count="3">
    <cellStyle name="Currency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3"/>
  <sheetViews>
    <sheetView tabSelected="1" workbookViewId="0">
      <selection activeCell="O7" sqref="O7"/>
    </sheetView>
  </sheetViews>
  <sheetFormatPr defaultRowHeight="15"/>
  <cols>
    <col min="1" max="1" width="1" customWidth="1"/>
    <col min="2" max="35" width="9.7109375" customWidth="1"/>
  </cols>
  <sheetData>
    <row r="1" spans="1:35" ht="6" customHeight="1" thickBot="1"/>
    <row r="2" spans="1:35">
      <c r="B2" s="133" t="s">
        <v>0</v>
      </c>
      <c r="C2" s="134"/>
      <c r="D2" s="135"/>
      <c r="F2" s="133" t="s">
        <v>1</v>
      </c>
      <c r="G2" s="134"/>
      <c r="H2" s="135"/>
      <c r="J2" s="133" t="s">
        <v>2</v>
      </c>
      <c r="K2" s="134"/>
      <c r="L2" s="135"/>
    </row>
    <row r="3" spans="1:35">
      <c r="B3" s="136" t="s">
        <v>3</v>
      </c>
      <c r="C3" s="137"/>
      <c r="D3" s="3">
        <v>55000</v>
      </c>
      <c r="F3" s="1" t="s">
        <v>4</v>
      </c>
      <c r="G3" s="2"/>
      <c r="H3" s="4">
        <v>0.2</v>
      </c>
      <c r="J3" s="136" t="s">
        <v>5</v>
      </c>
      <c r="K3" s="137"/>
      <c r="L3" s="5">
        <v>925</v>
      </c>
    </row>
    <row r="4" spans="1:35" ht="15.75" thickBot="1">
      <c r="B4" s="138" t="s">
        <v>6</v>
      </c>
      <c r="C4" s="139"/>
      <c r="D4" s="6">
        <f>D3*0.25</f>
        <v>13750</v>
      </c>
      <c r="F4" s="1" t="s">
        <v>7</v>
      </c>
      <c r="G4" s="2"/>
      <c r="H4" s="7">
        <f>(1-H3)*D3</f>
        <v>44000</v>
      </c>
      <c r="J4" s="140" t="s">
        <v>8</v>
      </c>
      <c r="K4" s="141"/>
      <c r="L4" s="124">
        <v>8.3330000000000001E-2</v>
      </c>
    </row>
    <row r="5" spans="1:35" ht="15.75" thickBot="1">
      <c r="B5" s="138" t="s">
        <v>9</v>
      </c>
      <c r="C5" s="139"/>
      <c r="D5" s="6">
        <f>D3*0.75</f>
        <v>41250</v>
      </c>
      <c r="F5" s="1" t="s">
        <v>10</v>
      </c>
      <c r="G5" s="2"/>
      <c r="H5" s="7">
        <f>H3*D3</f>
        <v>11000</v>
      </c>
      <c r="J5" s="8"/>
      <c r="K5" s="8"/>
      <c r="L5" s="9"/>
    </row>
    <row r="6" spans="1:35" ht="15.75" thickBot="1">
      <c r="B6" s="136" t="s">
        <v>11</v>
      </c>
      <c r="C6" s="137"/>
      <c r="D6" s="3">
        <v>6000</v>
      </c>
      <c r="F6" s="1" t="s">
        <v>12</v>
      </c>
      <c r="G6" s="2"/>
      <c r="H6" s="10">
        <v>6.5000000000000002E-2</v>
      </c>
      <c r="J6" s="133" t="s">
        <v>84</v>
      </c>
      <c r="K6" s="134"/>
      <c r="L6" s="135"/>
    </row>
    <row r="7" spans="1:35" ht="15.75" thickBot="1">
      <c r="B7" s="136" t="s">
        <v>13</v>
      </c>
      <c r="C7" s="137"/>
      <c r="D7" s="162">
        <f>D3*0.05</f>
        <v>2750</v>
      </c>
      <c r="F7" s="1" t="s">
        <v>14</v>
      </c>
      <c r="G7" s="2"/>
      <c r="H7" s="11">
        <v>30</v>
      </c>
      <c r="J7" s="142" t="s">
        <v>15</v>
      </c>
      <c r="K7" s="143"/>
      <c r="L7" s="130">
        <f>F41</f>
        <v>2211.7133959571402</v>
      </c>
    </row>
    <row r="8" spans="1:35" ht="15.75" thickBot="1">
      <c r="B8" s="144" t="s">
        <v>16</v>
      </c>
      <c r="C8" s="145"/>
      <c r="D8" s="13">
        <f>D3+D6+D7</f>
        <v>63750</v>
      </c>
      <c r="F8" s="14" t="s">
        <v>17</v>
      </c>
      <c r="G8" s="15"/>
      <c r="H8" s="7">
        <f>-PMT(H6/12,12*H7, H4)</f>
        <v>278.10993033690505</v>
      </c>
      <c r="J8" s="146" t="s">
        <v>18</v>
      </c>
      <c r="K8" s="147"/>
      <c r="L8" s="131">
        <f>F42</f>
        <v>0.11198548840289317</v>
      </c>
    </row>
    <row r="9" spans="1:35" ht="15.75" thickBot="1">
      <c r="B9" s="16"/>
      <c r="C9" s="16"/>
      <c r="D9" s="17"/>
      <c r="F9" s="18" t="s">
        <v>19</v>
      </c>
      <c r="G9" s="19"/>
      <c r="H9" s="20">
        <f>H5+D6+D7</f>
        <v>19750</v>
      </c>
      <c r="J9" s="148" t="s">
        <v>20</v>
      </c>
      <c r="K9" s="149"/>
      <c r="L9" s="132">
        <f>F45</f>
        <v>0.13688671404048333</v>
      </c>
      <c r="O9" s="12"/>
      <c r="P9" s="12"/>
      <c r="Q9" s="21"/>
    </row>
    <row r="10" spans="1:35" ht="15.75" customHeight="1"/>
    <row r="11" spans="1:35">
      <c r="A11" s="22"/>
      <c r="B11" s="23"/>
      <c r="C11" s="23"/>
      <c r="D11" s="23"/>
      <c r="E11" s="23"/>
      <c r="F11" s="24" t="s">
        <v>21</v>
      </c>
      <c r="G11" s="23" t="s">
        <v>22</v>
      </c>
      <c r="H11" s="23" t="s">
        <v>23</v>
      </c>
      <c r="I11" s="23" t="s">
        <v>24</v>
      </c>
      <c r="J11" s="25" t="s">
        <v>25</v>
      </c>
      <c r="K11" s="23" t="s">
        <v>26</v>
      </c>
      <c r="L11" s="23" t="s">
        <v>27</v>
      </c>
      <c r="M11" s="23" t="s">
        <v>28</v>
      </c>
      <c r="N11" s="23" t="s">
        <v>29</v>
      </c>
      <c r="O11" s="26" t="s">
        <v>30</v>
      </c>
      <c r="P11" s="26" t="s">
        <v>31</v>
      </c>
      <c r="Q11" s="26" t="s">
        <v>32</v>
      </c>
      <c r="R11" s="26" t="s">
        <v>33</v>
      </c>
      <c r="S11" s="26" t="s">
        <v>34</v>
      </c>
      <c r="T11" s="25" t="s">
        <v>35</v>
      </c>
      <c r="U11" s="26" t="s">
        <v>36</v>
      </c>
      <c r="V11" s="26" t="s">
        <v>37</v>
      </c>
      <c r="W11" s="26" t="s">
        <v>38</v>
      </c>
      <c r="X11" s="26" t="s">
        <v>39</v>
      </c>
      <c r="Y11" s="26" t="s">
        <v>40</v>
      </c>
      <c r="Z11" s="26" t="s">
        <v>41</v>
      </c>
      <c r="AA11" s="26" t="s">
        <v>42</v>
      </c>
      <c r="AB11" s="26" t="s">
        <v>43</v>
      </c>
      <c r="AC11" s="26" t="s">
        <v>44</v>
      </c>
      <c r="AD11" s="26" t="s">
        <v>45</v>
      </c>
      <c r="AE11" s="26" t="s">
        <v>46</v>
      </c>
      <c r="AF11" s="26" t="s">
        <v>47</v>
      </c>
      <c r="AG11" s="26" t="s">
        <v>48</v>
      </c>
      <c r="AH11" s="26" t="s">
        <v>49</v>
      </c>
      <c r="AI11" s="26" t="s">
        <v>50</v>
      </c>
    </row>
    <row r="12" spans="1:35">
      <c r="B12" s="150" t="s">
        <v>51</v>
      </c>
      <c r="C12" s="151"/>
      <c r="D12" s="151"/>
      <c r="E12" s="27">
        <v>0.02</v>
      </c>
      <c r="F12" s="28">
        <v>0</v>
      </c>
      <c r="G12" s="28">
        <f>E12</f>
        <v>0.02</v>
      </c>
      <c r="H12" s="28">
        <f>E12</f>
        <v>0.02</v>
      </c>
      <c r="I12" s="28">
        <f>E12</f>
        <v>0.02</v>
      </c>
      <c r="J12" s="29">
        <f>E12</f>
        <v>0.02</v>
      </c>
      <c r="K12" s="28">
        <f>E12</f>
        <v>0.02</v>
      </c>
      <c r="L12" s="28">
        <f>E12</f>
        <v>0.02</v>
      </c>
      <c r="M12" s="28">
        <f>E12</f>
        <v>0.02</v>
      </c>
      <c r="N12" s="28">
        <f>E12</f>
        <v>0.02</v>
      </c>
      <c r="O12" s="28">
        <f>E12</f>
        <v>0.02</v>
      </c>
      <c r="P12" s="28">
        <f>E12</f>
        <v>0.02</v>
      </c>
      <c r="Q12" s="28">
        <f>E12</f>
        <v>0.02</v>
      </c>
      <c r="R12" s="28">
        <f>E12</f>
        <v>0.02</v>
      </c>
      <c r="S12" s="28">
        <f>E12</f>
        <v>0.02</v>
      </c>
      <c r="T12" s="29">
        <f>E12</f>
        <v>0.02</v>
      </c>
      <c r="U12" s="28">
        <f>E12</f>
        <v>0.02</v>
      </c>
      <c r="V12" s="30">
        <f>G12</f>
        <v>0.02</v>
      </c>
      <c r="W12" s="28">
        <f>E12</f>
        <v>0.02</v>
      </c>
      <c r="X12" s="30">
        <f>E12</f>
        <v>0.02</v>
      </c>
      <c r="Y12" s="28">
        <f>E12</f>
        <v>0.02</v>
      </c>
      <c r="Z12" s="30">
        <f>E12</f>
        <v>0.02</v>
      </c>
      <c r="AA12" s="28">
        <f>E12</f>
        <v>0.02</v>
      </c>
      <c r="AB12" s="30">
        <f>E12</f>
        <v>0.02</v>
      </c>
      <c r="AC12" s="28">
        <f>E12</f>
        <v>0.02</v>
      </c>
      <c r="AD12" s="30">
        <f>E12</f>
        <v>0.02</v>
      </c>
      <c r="AE12" s="28">
        <f>E12</f>
        <v>0.02</v>
      </c>
      <c r="AF12" s="30">
        <f>E12</f>
        <v>0.02</v>
      </c>
      <c r="AG12" s="28">
        <f>E12</f>
        <v>0.02</v>
      </c>
      <c r="AH12" s="30">
        <f>E12</f>
        <v>0.02</v>
      </c>
      <c r="AI12" s="31">
        <f>E12</f>
        <v>0.02</v>
      </c>
    </row>
    <row r="13" spans="1:35">
      <c r="B13" s="150" t="s">
        <v>52</v>
      </c>
      <c r="C13" s="151"/>
      <c r="D13" s="151"/>
      <c r="E13" s="27">
        <v>0.02</v>
      </c>
      <c r="F13" s="28">
        <v>0</v>
      </c>
      <c r="G13" s="28">
        <f>E13</f>
        <v>0.02</v>
      </c>
      <c r="H13" s="28">
        <f>E13</f>
        <v>0.02</v>
      </c>
      <c r="I13" s="28">
        <f>E13</f>
        <v>0.02</v>
      </c>
      <c r="J13" s="29">
        <f>E13</f>
        <v>0.02</v>
      </c>
      <c r="K13" s="28">
        <f>E13</f>
        <v>0.02</v>
      </c>
      <c r="L13" s="28">
        <f>E13</f>
        <v>0.02</v>
      </c>
      <c r="M13" s="28">
        <f>E13</f>
        <v>0.02</v>
      </c>
      <c r="N13" s="28">
        <f>E13</f>
        <v>0.02</v>
      </c>
      <c r="O13" s="28">
        <f>E13</f>
        <v>0.02</v>
      </c>
      <c r="P13" s="28">
        <f>E13</f>
        <v>0.02</v>
      </c>
      <c r="Q13" s="28">
        <f>E13</f>
        <v>0.02</v>
      </c>
      <c r="R13" s="28">
        <f>E13</f>
        <v>0.02</v>
      </c>
      <c r="S13" s="28">
        <f>E13</f>
        <v>0.02</v>
      </c>
      <c r="T13" s="29">
        <f>E13</f>
        <v>0.02</v>
      </c>
      <c r="U13" s="28">
        <f>E13</f>
        <v>0.02</v>
      </c>
      <c r="V13" s="30">
        <f>G13</f>
        <v>0.02</v>
      </c>
      <c r="W13" s="28">
        <f>E13</f>
        <v>0.02</v>
      </c>
      <c r="X13" s="30">
        <f>E13</f>
        <v>0.02</v>
      </c>
      <c r="Y13" s="28">
        <f>E13</f>
        <v>0.02</v>
      </c>
      <c r="Z13" s="30">
        <f>E13</f>
        <v>0.02</v>
      </c>
      <c r="AA13" s="28">
        <f>E13</f>
        <v>0.02</v>
      </c>
      <c r="AB13" s="30">
        <f>E13</f>
        <v>0.02</v>
      </c>
      <c r="AC13" s="28">
        <f>E13</f>
        <v>0.02</v>
      </c>
      <c r="AD13" s="30">
        <f>E13</f>
        <v>0.02</v>
      </c>
      <c r="AE13" s="28">
        <f>E13</f>
        <v>0.02</v>
      </c>
      <c r="AF13" s="30">
        <f>E13</f>
        <v>0.02</v>
      </c>
      <c r="AG13" s="28">
        <f>E13</f>
        <v>0.02</v>
      </c>
      <c r="AH13" s="30">
        <f>E13</f>
        <v>0.02</v>
      </c>
      <c r="AI13" s="31">
        <f>E13</f>
        <v>0.02</v>
      </c>
    </row>
    <row r="14" spans="1:35">
      <c r="A14" s="2"/>
      <c r="B14" s="2"/>
      <c r="C14" s="2"/>
      <c r="D14" s="2"/>
      <c r="E14" s="32"/>
      <c r="F14" s="32"/>
      <c r="G14" s="32"/>
      <c r="H14" s="32"/>
      <c r="I14" s="32"/>
      <c r="J14" s="10"/>
      <c r="K14" s="32"/>
      <c r="L14" s="32"/>
      <c r="M14" s="32"/>
      <c r="N14" s="32"/>
      <c r="O14" s="32"/>
      <c r="P14" s="32"/>
      <c r="Q14" s="32"/>
      <c r="R14" s="32"/>
      <c r="S14" s="32"/>
      <c r="T14" s="10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>
      <c r="A15" s="22"/>
      <c r="B15" s="23"/>
      <c r="C15" s="23"/>
      <c r="D15" s="23"/>
      <c r="E15" s="23" t="s">
        <v>53</v>
      </c>
      <c r="F15" s="33" t="s">
        <v>21</v>
      </c>
      <c r="G15" s="23" t="s">
        <v>22</v>
      </c>
      <c r="H15" s="23" t="s">
        <v>23</v>
      </c>
      <c r="I15" s="23" t="s">
        <v>24</v>
      </c>
      <c r="J15" s="25" t="s">
        <v>25</v>
      </c>
      <c r="K15" s="23" t="s">
        <v>26</v>
      </c>
      <c r="L15" s="23" t="s">
        <v>27</v>
      </c>
      <c r="M15" s="23" t="s">
        <v>28</v>
      </c>
      <c r="N15" s="23" t="s">
        <v>29</v>
      </c>
      <c r="O15" s="26" t="s">
        <v>30</v>
      </c>
      <c r="P15" s="26" t="s">
        <v>31</v>
      </c>
      <c r="Q15" s="26" t="s">
        <v>32</v>
      </c>
      <c r="R15" s="26" t="s">
        <v>33</v>
      </c>
      <c r="S15" s="26" t="s">
        <v>34</v>
      </c>
      <c r="T15" s="25" t="s">
        <v>35</v>
      </c>
      <c r="U15" s="26" t="s">
        <v>36</v>
      </c>
      <c r="V15" s="26" t="s">
        <v>37</v>
      </c>
      <c r="W15" s="26" t="s">
        <v>38</v>
      </c>
      <c r="X15" s="26" t="s">
        <v>39</v>
      </c>
      <c r="Y15" s="26" t="s">
        <v>40</v>
      </c>
      <c r="Z15" s="26" t="s">
        <v>41</v>
      </c>
      <c r="AA15" s="26" t="s">
        <v>42</v>
      </c>
      <c r="AB15" s="26" t="s">
        <v>43</v>
      </c>
      <c r="AC15" s="26" t="s">
        <v>44</v>
      </c>
      <c r="AD15" s="26" t="s">
        <v>45</v>
      </c>
      <c r="AE15" s="26" t="s">
        <v>46</v>
      </c>
      <c r="AF15" s="26" t="s">
        <v>47</v>
      </c>
      <c r="AG15" s="26" t="s">
        <v>48</v>
      </c>
      <c r="AH15" s="26" t="s">
        <v>49</v>
      </c>
      <c r="AI15" s="26" t="s">
        <v>50</v>
      </c>
    </row>
    <row r="16" spans="1:35">
      <c r="B16" s="34" t="s">
        <v>54</v>
      </c>
      <c r="C16" s="35"/>
      <c r="D16" s="35"/>
      <c r="E16" s="35"/>
      <c r="F16" s="36"/>
      <c r="G16" s="35"/>
      <c r="H16" s="35"/>
      <c r="I16" s="35"/>
      <c r="J16" s="37"/>
      <c r="K16" s="35"/>
      <c r="L16" s="35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0"/>
    </row>
    <row r="17" spans="1:35">
      <c r="B17" s="41" t="s">
        <v>55</v>
      </c>
      <c r="C17" s="2"/>
      <c r="D17" s="42"/>
      <c r="E17" s="42">
        <f>L3</f>
        <v>925</v>
      </c>
      <c r="F17" s="43">
        <f>E17*12</f>
        <v>11100</v>
      </c>
      <c r="G17" s="42">
        <f t="shared" ref="G17:AI17" si="0">F17+(G12*F17)</f>
        <v>11322</v>
      </c>
      <c r="H17" s="42">
        <f t="shared" si="0"/>
        <v>11548.44</v>
      </c>
      <c r="I17" s="42">
        <f t="shared" si="0"/>
        <v>11779.408800000001</v>
      </c>
      <c r="J17" s="44">
        <f t="shared" si="0"/>
        <v>12014.996976</v>
      </c>
      <c r="K17" s="42">
        <f t="shared" si="0"/>
        <v>12255.296915520001</v>
      </c>
      <c r="L17" s="42">
        <f t="shared" si="0"/>
        <v>12500.402853830401</v>
      </c>
      <c r="M17" s="42">
        <f t="shared" si="0"/>
        <v>12750.410910907009</v>
      </c>
      <c r="N17" s="42">
        <f t="shared" si="0"/>
        <v>13005.419129125148</v>
      </c>
      <c r="O17" s="42">
        <f t="shared" si="0"/>
        <v>13265.527511707651</v>
      </c>
      <c r="P17" s="42">
        <f t="shared" si="0"/>
        <v>13530.838061941804</v>
      </c>
      <c r="Q17" s="42">
        <f t="shared" si="0"/>
        <v>13801.45482318064</v>
      </c>
      <c r="R17" s="42">
        <f t="shared" si="0"/>
        <v>14077.483919644254</v>
      </c>
      <c r="S17" s="42">
        <f t="shared" si="0"/>
        <v>14359.033598037138</v>
      </c>
      <c r="T17" s="44">
        <f t="shared" si="0"/>
        <v>14646.214269997881</v>
      </c>
      <c r="U17" s="42">
        <f t="shared" si="0"/>
        <v>14939.13855539784</v>
      </c>
      <c r="V17" s="42">
        <f t="shared" si="0"/>
        <v>15237.921326505797</v>
      </c>
      <c r="W17" s="42">
        <f t="shared" si="0"/>
        <v>15542.679753035913</v>
      </c>
      <c r="X17" s="42">
        <f t="shared" si="0"/>
        <v>15853.533348096631</v>
      </c>
      <c r="Y17" s="42">
        <f t="shared" si="0"/>
        <v>16170.604015058563</v>
      </c>
      <c r="Z17" s="42">
        <f t="shared" si="0"/>
        <v>16494.016095359733</v>
      </c>
      <c r="AA17" s="42">
        <f t="shared" si="0"/>
        <v>16823.896417266929</v>
      </c>
      <c r="AB17" s="42">
        <f t="shared" si="0"/>
        <v>17160.374345612268</v>
      </c>
      <c r="AC17" s="42">
        <f t="shared" si="0"/>
        <v>17503.581832524513</v>
      </c>
      <c r="AD17" s="42">
        <f t="shared" si="0"/>
        <v>17853.653469175002</v>
      </c>
      <c r="AE17" s="42">
        <f t="shared" si="0"/>
        <v>18210.726538558501</v>
      </c>
      <c r="AF17" s="42">
        <f t="shared" si="0"/>
        <v>18574.94106932967</v>
      </c>
      <c r="AG17" s="42">
        <f t="shared" si="0"/>
        <v>18946.439890716265</v>
      </c>
      <c r="AH17" s="42">
        <f t="shared" si="0"/>
        <v>19325.368688530591</v>
      </c>
      <c r="AI17" s="45">
        <f t="shared" si="0"/>
        <v>19711.876062301202</v>
      </c>
    </row>
    <row r="18" spans="1:35" s="125" customFormat="1">
      <c r="B18" s="41" t="s">
        <v>56</v>
      </c>
      <c r="C18" s="2"/>
      <c r="D18" s="42"/>
      <c r="E18" s="126">
        <f>L4</f>
        <v>8.3330000000000001E-2</v>
      </c>
      <c r="F18" s="127">
        <f>L4</f>
        <v>8.3330000000000001E-2</v>
      </c>
      <c r="G18" s="128">
        <f>$L$4</f>
        <v>8.3330000000000001E-2</v>
      </c>
      <c r="H18" s="128">
        <f t="shared" ref="H18:I18" si="1">$L$4</f>
        <v>8.3330000000000001E-2</v>
      </c>
      <c r="I18" s="128">
        <f t="shared" si="1"/>
        <v>8.3330000000000001E-2</v>
      </c>
      <c r="J18" s="129">
        <f>L4</f>
        <v>8.3330000000000001E-2</v>
      </c>
      <c r="K18" s="47">
        <f>L4</f>
        <v>8.3330000000000001E-2</v>
      </c>
      <c r="L18" s="47">
        <f>$L$4</f>
        <v>8.3330000000000001E-2</v>
      </c>
      <c r="M18" s="47">
        <f t="shared" ref="M18:S18" si="2">$L$4</f>
        <v>8.3330000000000001E-2</v>
      </c>
      <c r="N18" s="47">
        <f t="shared" si="2"/>
        <v>8.3330000000000001E-2</v>
      </c>
      <c r="O18" s="47">
        <f t="shared" si="2"/>
        <v>8.3330000000000001E-2</v>
      </c>
      <c r="P18" s="47">
        <f t="shared" si="2"/>
        <v>8.3330000000000001E-2</v>
      </c>
      <c r="Q18" s="47">
        <f t="shared" si="2"/>
        <v>8.3330000000000001E-2</v>
      </c>
      <c r="R18" s="47">
        <f t="shared" si="2"/>
        <v>8.3330000000000001E-2</v>
      </c>
      <c r="S18" s="47">
        <f t="shared" si="2"/>
        <v>8.3330000000000001E-2</v>
      </c>
      <c r="T18" s="129">
        <f>L4</f>
        <v>8.3330000000000001E-2</v>
      </c>
      <c r="U18" s="47">
        <f>L4</f>
        <v>8.3330000000000001E-2</v>
      </c>
      <c r="V18" s="47">
        <f>$L$4</f>
        <v>8.3330000000000001E-2</v>
      </c>
      <c r="W18" s="47">
        <f t="shared" ref="W18:AH18" si="3">$L$4</f>
        <v>8.3330000000000001E-2</v>
      </c>
      <c r="X18" s="47">
        <f t="shared" si="3"/>
        <v>8.3330000000000001E-2</v>
      </c>
      <c r="Y18" s="47">
        <f t="shared" si="3"/>
        <v>8.3330000000000001E-2</v>
      </c>
      <c r="Z18" s="47">
        <f t="shared" si="3"/>
        <v>8.3330000000000001E-2</v>
      </c>
      <c r="AA18" s="47">
        <f t="shared" si="3"/>
        <v>8.3330000000000001E-2</v>
      </c>
      <c r="AB18" s="47">
        <f t="shared" si="3"/>
        <v>8.3330000000000001E-2</v>
      </c>
      <c r="AC18" s="47">
        <f t="shared" si="3"/>
        <v>8.3330000000000001E-2</v>
      </c>
      <c r="AD18" s="47">
        <f t="shared" si="3"/>
        <v>8.3330000000000001E-2</v>
      </c>
      <c r="AE18" s="47">
        <f t="shared" si="3"/>
        <v>8.3330000000000001E-2</v>
      </c>
      <c r="AF18" s="47">
        <f t="shared" si="3"/>
        <v>8.3330000000000001E-2</v>
      </c>
      <c r="AG18" s="47">
        <f t="shared" si="3"/>
        <v>8.3330000000000001E-2</v>
      </c>
      <c r="AH18" s="47">
        <f t="shared" si="3"/>
        <v>8.3330000000000001E-2</v>
      </c>
      <c r="AI18" s="126">
        <f>L4</f>
        <v>8.3330000000000001E-2</v>
      </c>
    </row>
    <row r="19" spans="1:35">
      <c r="B19" s="41" t="s">
        <v>57</v>
      </c>
      <c r="C19" s="46"/>
      <c r="D19" s="47"/>
      <c r="E19" s="42">
        <f>-(E17*E18)</f>
        <v>-77.080250000000007</v>
      </c>
      <c r="F19" s="43">
        <f>-(F17*F18)</f>
        <v>-924.96299999999997</v>
      </c>
      <c r="G19" s="42">
        <f>-(G17*G18)</f>
        <v>-943.46226000000001</v>
      </c>
      <c r="H19" s="42">
        <f t="shared" ref="H19:AI19" si="4">-(H17*H18)</f>
        <v>-962.33150520000004</v>
      </c>
      <c r="I19" s="42">
        <f t="shared" si="4"/>
        <v>-981.57813530400006</v>
      </c>
      <c r="J19" s="44">
        <f t="shared" si="4"/>
        <v>-1001.20969801008</v>
      </c>
      <c r="K19" s="42">
        <f t="shared" si="4"/>
        <v>-1021.2338919702817</v>
      </c>
      <c r="L19" s="42">
        <f t="shared" si="4"/>
        <v>-1041.6585698096874</v>
      </c>
      <c r="M19" s="42">
        <f t="shared" si="4"/>
        <v>-1062.491741205881</v>
      </c>
      <c r="N19" s="42">
        <f t="shared" si="4"/>
        <v>-1083.7415760299987</v>
      </c>
      <c r="O19" s="42">
        <f t="shared" si="4"/>
        <v>-1105.4164075505985</v>
      </c>
      <c r="P19" s="42">
        <f t="shared" si="4"/>
        <v>-1127.5247357016106</v>
      </c>
      <c r="Q19" s="42">
        <f t="shared" si="4"/>
        <v>-1150.0752304156429</v>
      </c>
      <c r="R19" s="42">
        <f t="shared" si="4"/>
        <v>-1173.0767350239557</v>
      </c>
      <c r="S19" s="42">
        <f t="shared" si="4"/>
        <v>-1196.5382697244347</v>
      </c>
      <c r="T19" s="44">
        <f t="shared" si="4"/>
        <v>-1220.4690351189236</v>
      </c>
      <c r="U19" s="42">
        <f t="shared" si="4"/>
        <v>-1244.878415821302</v>
      </c>
      <c r="V19" s="42">
        <f t="shared" si="4"/>
        <v>-1269.7759841377281</v>
      </c>
      <c r="W19" s="42">
        <f t="shared" si="4"/>
        <v>-1295.1715038204827</v>
      </c>
      <c r="X19" s="42">
        <f t="shared" si="4"/>
        <v>-1321.0749338968924</v>
      </c>
      <c r="Y19" s="42">
        <f t="shared" si="4"/>
        <v>-1347.4964325748301</v>
      </c>
      <c r="Z19" s="42">
        <f t="shared" si="4"/>
        <v>-1374.4463612263266</v>
      </c>
      <c r="AA19" s="42">
        <f t="shared" si="4"/>
        <v>-1401.9352884508532</v>
      </c>
      <c r="AB19" s="42">
        <f t="shared" si="4"/>
        <v>-1429.9739942198703</v>
      </c>
      <c r="AC19" s="42">
        <f t="shared" si="4"/>
        <v>-1458.5734741042677</v>
      </c>
      <c r="AD19" s="42">
        <f t="shared" si="4"/>
        <v>-1487.744943586353</v>
      </c>
      <c r="AE19" s="42">
        <f t="shared" si="4"/>
        <v>-1517.4998424580799</v>
      </c>
      <c r="AF19" s="42">
        <f t="shared" si="4"/>
        <v>-1547.8498393072414</v>
      </c>
      <c r="AG19" s="42">
        <f t="shared" si="4"/>
        <v>-1578.8068360933864</v>
      </c>
      <c r="AH19" s="42">
        <f t="shared" si="4"/>
        <v>-1610.3829728152541</v>
      </c>
      <c r="AI19" s="45">
        <f t="shared" si="4"/>
        <v>-1642.5906322715591</v>
      </c>
    </row>
    <row r="20" spans="1:35">
      <c r="B20" s="48" t="s">
        <v>58</v>
      </c>
      <c r="C20" s="49"/>
      <c r="D20" s="50"/>
      <c r="E20" s="50">
        <f>E17+E19</f>
        <v>847.91975000000002</v>
      </c>
      <c r="F20" s="51">
        <f>F17+F19</f>
        <v>10175.037</v>
      </c>
      <c r="G20" s="52">
        <f>G17+G19</f>
        <v>10378.53774</v>
      </c>
      <c r="H20" s="52">
        <f t="shared" ref="H20:AI20" si="5">H17+H19</f>
        <v>10586.108494800001</v>
      </c>
      <c r="I20" s="52">
        <f t="shared" si="5"/>
        <v>10797.830664696001</v>
      </c>
      <c r="J20" s="53">
        <f t="shared" si="5"/>
        <v>11013.787277989921</v>
      </c>
      <c r="K20" s="52">
        <f t="shared" si="5"/>
        <v>11234.063023549719</v>
      </c>
      <c r="L20" s="52">
        <f t="shared" si="5"/>
        <v>11458.744284020713</v>
      </c>
      <c r="M20" s="52">
        <f t="shared" si="5"/>
        <v>11687.919169701128</v>
      </c>
      <c r="N20" s="52">
        <f t="shared" si="5"/>
        <v>11921.677553095149</v>
      </c>
      <c r="O20" s="52">
        <f t="shared" si="5"/>
        <v>12160.111104157053</v>
      </c>
      <c r="P20" s="52">
        <f t="shared" si="5"/>
        <v>12403.313326240193</v>
      </c>
      <c r="Q20" s="52">
        <f t="shared" si="5"/>
        <v>12651.379592764997</v>
      </c>
      <c r="R20" s="52">
        <f t="shared" si="5"/>
        <v>12904.407184620297</v>
      </c>
      <c r="S20" s="52">
        <f t="shared" si="5"/>
        <v>13162.495328312703</v>
      </c>
      <c r="T20" s="53">
        <f t="shared" si="5"/>
        <v>13425.745234878957</v>
      </c>
      <c r="U20" s="52">
        <f t="shared" si="5"/>
        <v>13694.260139576538</v>
      </c>
      <c r="V20" s="52">
        <f t="shared" si="5"/>
        <v>13968.145342368069</v>
      </c>
      <c r="W20" s="52">
        <f t="shared" si="5"/>
        <v>14247.508249215431</v>
      </c>
      <c r="X20" s="52">
        <f t="shared" si="5"/>
        <v>14532.458414199738</v>
      </c>
      <c r="Y20" s="52">
        <f t="shared" si="5"/>
        <v>14823.107582483733</v>
      </c>
      <c r="Z20" s="52">
        <f t="shared" si="5"/>
        <v>15119.569734133407</v>
      </c>
      <c r="AA20" s="52">
        <f t="shared" si="5"/>
        <v>15421.961128816076</v>
      </c>
      <c r="AB20" s="52">
        <f t="shared" si="5"/>
        <v>15730.400351392398</v>
      </c>
      <c r="AC20" s="52">
        <f t="shared" si="5"/>
        <v>16045.008358420246</v>
      </c>
      <c r="AD20" s="52">
        <f t="shared" si="5"/>
        <v>16365.908525588649</v>
      </c>
      <c r="AE20" s="52">
        <f t="shared" si="5"/>
        <v>16693.226696100421</v>
      </c>
      <c r="AF20" s="52">
        <f t="shared" si="5"/>
        <v>17027.09123002243</v>
      </c>
      <c r="AG20" s="52">
        <f t="shared" si="5"/>
        <v>17367.633054622878</v>
      </c>
      <c r="AH20" s="52">
        <f t="shared" si="5"/>
        <v>17714.985715715338</v>
      </c>
      <c r="AI20" s="54">
        <f t="shared" si="5"/>
        <v>18069.285430029642</v>
      </c>
    </row>
    <row r="21" spans="1:35">
      <c r="A21" s="22"/>
      <c r="B21" s="22"/>
      <c r="C21" s="22"/>
      <c r="D21" s="22"/>
      <c r="E21" s="22"/>
      <c r="F21" s="55"/>
      <c r="G21" s="22"/>
      <c r="H21" s="22"/>
      <c r="I21" s="22"/>
      <c r="J21" s="56"/>
      <c r="K21" s="22"/>
      <c r="L21" s="22"/>
      <c r="O21" s="57"/>
      <c r="P21" s="57"/>
      <c r="Q21" s="57"/>
      <c r="R21" s="57"/>
      <c r="S21" s="57"/>
      <c r="T21" s="58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spans="1:35">
      <c r="B22" s="59" t="s">
        <v>59</v>
      </c>
      <c r="C22" s="60"/>
      <c r="D22" s="60"/>
      <c r="E22" s="60"/>
      <c r="F22" s="36"/>
      <c r="G22" s="60"/>
      <c r="H22" s="60"/>
      <c r="I22" s="60"/>
      <c r="J22" s="61"/>
      <c r="K22" s="60"/>
      <c r="L22" s="60"/>
      <c r="M22" s="62"/>
      <c r="N22" s="62"/>
      <c r="O22" s="62"/>
      <c r="P22" s="62"/>
      <c r="Q22" s="62"/>
      <c r="R22" s="62"/>
      <c r="S22" s="62"/>
      <c r="T22" s="63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4"/>
    </row>
    <row r="23" spans="1:35">
      <c r="B23" s="152" t="s">
        <v>60</v>
      </c>
      <c r="C23" s="137"/>
      <c r="D23" s="2" t="s">
        <v>61</v>
      </c>
      <c r="E23" s="65">
        <v>1000</v>
      </c>
      <c r="F23" s="43">
        <f t="shared" ref="F23:F28" si="6">E23</f>
        <v>1000</v>
      </c>
      <c r="G23" s="42">
        <f t="shared" ref="G23:AI23" si="7">F23+(G13*F23)</f>
        <v>1020</v>
      </c>
      <c r="H23" s="42">
        <f t="shared" si="7"/>
        <v>1040.4000000000001</v>
      </c>
      <c r="I23" s="42">
        <f t="shared" si="7"/>
        <v>1061.2080000000001</v>
      </c>
      <c r="J23" s="44">
        <f t="shared" si="7"/>
        <v>1082.4321600000001</v>
      </c>
      <c r="K23" s="42">
        <f t="shared" si="7"/>
        <v>1104.0808032</v>
      </c>
      <c r="L23" s="42">
        <f t="shared" si="7"/>
        <v>1126.1624192639999</v>
      </c>
      <c r="M23" s="42">
        <f t="shared" si="7"/>
        <v>1148.6856676492798</v>
      </c>
      <c r="N23" s="42">
        <f t="shared" si="7"/>
        <v>1171.6593810022655</v>
      </c>
      <c r="O23" s="42">
        <f t="shared" si="7"/>
        <v>1195.0925686223109</v>
      </c>
      <c r="P23" s="42">
        <f t="shared" si="7"/>
        <v>1218.994419994757</v>
      </c>
      <c r="Q23" s="42">
        <f t="shared" si="7"/>
        <v>1243.3743083946522</v>
      </c>
      <c r="R23" s="42">
        <f t="shared" si="7"/>
        <v>1268.2417945625452</v>
      </c>
      <c r="S23" s="42">
        <f t="shared" si="7"/>
        <v>1293.6066304537962</v>
      </c>
      <c r="T23" s="44">
        <f t="shared" si="7"/>
        <v>1319.4787630628721</v>
      </c>
      <c r="U23" s="42">
        <f t="shared" si="7"/>
        <v>1345.8683383241296</v>
      </c>
      <c r="V23" s="42">
        <f t="shared" si="7"/>
        <v>1372.7857050906123</v>
      </c>
      <c r="W23" s="42">
        <f t="shared" si="7"/>
        <v>1400.2414191924245</v>
      </c>
      <c r="X23" s="42">
        <f t="shared" si="7"/>
        <v>1428.2462475762729</v>
      </c>
      <c r="Y23" s="42">
        <f t="shared" si="7"/>
        <v>1456.8111725277984</v>
      </c>
      <c r="Z23" s="42">
        <f t="shared" si="7"/>
        <v>1485.9473959783543</v>
      </c>
      <c r="AA23" s="42">
        <f t="shared" si="7"/>
        <v>1515.6663438979213</v>
      </c>
      <c r="AB23" s="42">
        <f t="shared" si="7"/>
        <v>1545.9796707758796</v>
      </c>
      <c r="AC23" s="42">
        <f t="shared" si="7"/>
        <v>1576.8992641913972</v>
      </c>
      <c r="AD23" s="42">
        <f t="shared" si="7"/>
        <v>1608.4372494752251</v>
      </c>
      <c r="AE23" s="42">
        <f t="shared" si="7"/>
        <v>1640.6059944647297</v>
      </c>
      <c r="AF23" s="42">
        <f t="shared" si="7"/>
        <v>1673.4181143540243</v>
      </c>
      <c r="AG23" s="42">
        <f t="shared" si="7"/>
        <v>1706.8864766411048</v>
      </c>
      <c r="AH23" s="42">
        <f t="shared" si="7"/>
        <v>1741.0242061739268</v>
      </c>
      <c r="AI23" s="45">
        <f t="shared" si="7"/>
        <v>1775.8446902974054</v>
      </c>
    </row>
    <row r="24" spans="1:35">
      <c r="B24" s="152" t="s">
        <v>62</v>
      </c>
      <c r="C24" s="137"/>
      <c r="D24" s="2" t="s">
        <v>61</v>
      </c>
      <c r="E24" s="65">
        <v>580</v>
      </c>
      <c r="F24" s="43">
        <f t="shared" si="6"/>
        <v>580</v>
      </c>
      <c r="G24" s="42">
        <f t="shared" ref="G24:AI24" si="8">F24+(G13*F24)</f>
        <v>591.6</v>
      </c>
      <c r="H24" s="42">
        <f t="shared" si="8"/>
        <v>603.43200000000002</v>
      </c>
      <c r="I24" s="42">
        <f t="shared" si="8"/>
        <v>615.50063999999998</v>
      </c>
      <c r="J24" s="44">
        <f t="shared" si="8"/>
        <v>627.81065279999996</v>
      </c>
      <c r="K24" s="42">
        <f t="shared" si="8"/>
        <v>640.366865856</v>
      </c>
      <c r="L24" s="42">
        <f t="shared" si="8"/>
        <v>653.17420317311996</v>
      </c>
      <c r="M24" s="42">
        <f t="shared" si="8"/>
        <v>666.23768723658236</v>
      </c>
      <c r="N24" s="42">
        <f t="shared" si="8"/>
        <v>679.56244098131401</v>
      </c>
      <c r="O24" s="42">
        <f t="shared" si="8"/>
        <v>693.15368980094024</v>
      </c>
      <c r="P24" s="42">
        <f t="shared" si="8"/>
        <v>707.01676359695909</v>
      </c>
      <c r="Q24" s="42">
        <f t="shared" si="8"/>
        <v>721.15709886889829</v>
      </c>
      <c r="R24" s="42">
        <f t="shared" si="8"/>
        <v>735.5802408462763</v>
      </c>
      <c r="S24" s="42">
        <f t="shared" si="8"/>
        <v>750.2918456632018</v>
      </c>
      <c r="T24" s="44">
        <f t="shared" si="8"/>
        <v>765.29768257646583</v>
      </c>
      <c r="U24" s="42">
        <f t="shared" si="8"/>
        <v>780.60363622799514</v>
      </c>
      <c r="V24" s="42">
        <f t="shared" si="8"/>
        <v>796.21570895255502</v>
      </c>
      <c r="W24" s="42">
        <f t="shared" si="8"/>
        <v>812.14002313160609</v>
      </c>
      <c r="X24" s="42">
        <f t="shared" si="8"/>
        <v>828.38282359423818</v>
      </c>
      <c r="Y24" s="42">
        <f t="shared" si="8"/>
        <v>844.95048006612296</v>
      </c>
      <c r="Z24" s="42">
        <f t="shared" si="8"/>
        <v>861.84948966744537</v>
      </c>
      <c r="AA24" s="42">
        <f t="shared" si="8"/>
        <v>879.08647946079429</v>
      </c>
      <c r="AB24" s="42">
        <f t="shared" si="8"/>
        <v>896.6682090500102</v>
      </c>
      <c r="AC24" s="42">
        <f t="shared" si="8"/>
        <v>914.60157323101043</v>
      </c>
      <c r="AD24" s="42">
        <f t="shared" si="8"/>
        <v>932.89360469563064</v>
      </c>
      <c r="AE24" s="42">
        <f t="shared" si="8"/>
        <v>951.55147678954324</v>
      </c>
      <c r="AF24" s="42">
        <f t="shared" si="8"/>
        <v>970.58250632533407</v>
      </c>
      <c r="AG24" s="42">
        <f t="shared" si="8"/>
        <v>989.99415645184069</v>
      </c>
      <c r="AH24" s="42">
        <f t="shared" si="8"/>
        <v>1009.7940395808776</v>
      </c>
      <c r="AI24" s="45">
        <f t="shared" si="8"/>
        <v>1029.9899203724951</v>
      </c>
    </row>
    <row r="25" spans="1:35">
      <c r="B25" s="152" t="s">
        <v>63</v>
      </c>
      <c r="C25" s="137"/>
      <c r="D25" s="22" t="s">
        <v>61</v>
      </c>
      <c r="E25" s="65">
        <v>1000</v>
      </c>
      <c r="F25" s="43">
        <f t="shared" si="6"/>
        <v>1000</v>
      </c>
      <c r="G25" s="42">
        <f t="shared" ref="G25:AI25" si="9">F25+(G13*F25)</f>
        <v>1020</v>
      </c>
      <c r="H25" s="42">
        <f t="shared" si="9"/>
        <v>1040.4000000000001</v>
      </c>
      <c r="I25" s="42">
        <f t="shared" si="9"/>
        <v>1061.2080000000001</v>
      </c>
      <c r="J25" s="44">
        <f t="shared" si="9"/>
        <v>1082.4321600000001</v>
      </c>
      <c r="K25" s="42">
        <f t="shared" si="9"/>
        <v>1104.0808032</v>
      </c>
      <c r="L25" s="42">
        <f t="shared" si="9"/>
        <v>1126.1624192639999</v>
      </c>
      <c r="M25" s="42">
        <f t="shared" si="9"/>
        <v>1148.6856676492798</v>
      </c>
      <c r="N25" s="42">
        <f t="shared" si="9"/>
        <v>1171.6593810022655</v>
      </c>
      <c r="O25" s="42">
        <f t="shared" si="9"/>
        <v>1195.0925686223109</v>
      </c>
      <c r="P25" s="42">
        <f t="shared" si="9"/>
        <v>1218.994419994757</v>
      </c>
      <c r="Q25" s="42">
        <f t="shared" si="9"/>
        <v>1243.3743083946522</v>
      </c>
      <c r="R25" s="42">
        <f t="shared" si="9"/>
        <v>1268.2417945625452</v>
      </c>
      <c r="S25" s="42">
        <f t="shared" si="9"/>
        <v>1293.6066304537962</v>
      </c>
      <c r="T25" s="44">
        <f t="shared" si="9"/>
        <v>1319.4787630628721</v>
      </c>
      <c r="U25" s="42">
        <f t="shared" si="9"/>
        <v>1345.8683383241296</v>
      </c>
      <c r="V25" s="42">
        <f t="shared" si="9"/>
        <v>1372.7857050906123</v>
      </c>
      <c r="W25" s="42">
        <f t="shared" si="9"/>
        <v>1400.2414191924245</v>
      </c>
      <c r="X25" s="42">
        <f t="shared" si="9"/>
        <v>1428.2462475762729</v>
      </c>
      <c r="Y25" s="42">
        <f t="shared" si="9"/>
        <v>1456.8111725277984</v>
      </c>
      <c r="Z25" s="42">
        <f t="shared" si="9"/>
        <v>1485.9473959783543</v>
      </c>
      <c r="AA25" s="42">
        <f t="shared" si="9"/>
        <v>1515.6663438979213</v>
      </c>
      <c r="AB25" s="42">
        <f t="shared" si="9"/>
        <v>1545.9796707758796</v>
      </c>
      <c r="AC25" s="42">
        <f t="shared" si="9"/>
        <v>1576.8992641913972</v>
      </c>
      <c r="AD25" s="42">
        <f t="shared" si="9"/>
        <v>1608.4372494752251</v>
      </c>
      <c r="AE25" s="42">
        <f t="shared" si="9"/>
        <v>1640.6059944647297</v>
      </c>
      <c r="AF25" s="42">
        <f t="shared" si="9"/>
        <v>1673.4181143540243</v>
      </c>
      <c r="AG25" s="42">
        <f t="shared" si="9"/>
        <v>1706.8864766411048</v>
      </c>
      <c r="AH25" s="42">
        <f t="shared" si="9"/>
        <v>1741.0242061739268</v>
      </c>
      <c r="AI25" s="45">
        <f t="shared" si="9"/>
        <v>1775.8446902974054</v>
      </c>
    </row>
    <row r="26" spans="1:35">
      <c r="B26" s="152" t="s">
        <v>64</v>
      </c>
      <c r="C26" s="137"/>
      <c r="D26" s="2" t="s">
        <v>61</v>
      </c>
      <c r="E26" s="65">
        <v>0</v>
      </c>
      <c r="F26" s="43">
        <f t="shared" si="6"/>
        <v>0</v>
      </c>
      <c r="G26" s="42">
        <f t="shared" ref="G26:AI26" si="10">F26+(G13*F26)</f>
        <v>0</v>
      </c>
      <c r="H26" s="42">
        <f t="shared" si="10"/>
        <v>0</v>
      </c>
      <c r="I26" s="42">
        <f t="shared" si="10"/>
        <v>0</v>
      </c>
      <c r="J26" s="44">
        <f t="shared" si="10"/>
        <v>0</v>
      </c>
      <c r="K26" s="42">
        <f t="shared" si="10"/>
        <v>0</v>
      </c>
      <c r="L26" s="42">
        <f t="shared" si="10"/>
        <v>0</v>
      </c>
      <c r="M26" s="42">
        <f t="shared" si="10"/>
        <v>0</v>
      </c>
      <c r="N26" s="42">
        <f t="shared" si="10"/>
        <v>0</v>
      </c>
      <c r="O26" s="42">
        <f t="shared" si="10"/>
        <v>0</v>
      </c>
      <c r="P26" s="42">
        <f t="shared" si="10"/>
        <v>0</v>
      </c>
      <c r="Q26" s="42">
        <f t="shared" si="10"/>
        <v>0</v>
      </c>
      <c r="R26" s="42">
        <f t="shared" si="10"/>
        <v>0</v>
      </c>
      <c r="S26" s="42">
        <f t="shared" si="10"/>
        <v>0</v>
      </c>
      <c r="T26" s="44">
        <f t="shared" si="10"/>
        <v>0</v>
      </c>
      <c r="U26" s="42">
        <f t="shared" si="10"/>
        <v>0</v>
      </c>
      <c r="V26" s="42">
        <f t="shared" si="10"/>
        <v>0</v>
      </c>
      <c r="W26" s="42">
        <f t="shared" si="10"/>
        <v>0</v>
      </c>
      <c r="X26" s="42">
        <f t="shared" si="10"/>
        <v>0</v>
      </c>
      <c r="Y26" s="42">
        <f t="shared" si="10"/>
        <v>0</v>
      </c>
      <c r="Z26" s="42">
        <f t="shared" si="10"/>
        <v>0</v>
      </c>
      <c r="AA26" s="42">
        <f t="shared" si="10"/>
        <v>0</v>
      </c>
      <c r="AB26" s="42">
        <f t="shared" si="10"/>
        <v>0</v>
      </c>
      <c r="AC26" s="42">
        <f t="shared" si="10"/>
        <v>0</v>
      </c>
      <c r="AD26" s="42">
        <f t="shared" si="10"/>
        <v>0</v>
      </c>
      <c r="AE26" s="42">
        <f t="shared" si="10"/>
        <v>0</v>
      </c>
      <c r="AF26" s="42">
        <f t="shared" si="10"/>
        <v>0</v>
      </c>
      <c r="AG26" s="42">
        <f t="shared" si="10"/>
        <v>0</v>
      </c>
      <c r="AH26" s="42">
        <f t="shared" si="10"/>
        <v>0</v>
      </c>
      <c r="AI26" s="45">
        <f t="shared" si="10"/>
        <v>0</v>
      </c>
    </row>
    <row r="27" spans="1:35">
      <c r="B27" s="152" t="s">
        <v>65</v>
      </c>
      <c r="C27" s="137"/>
      <c r="D27" s="2" t="s">
        <v>61</v>
      </c>
      <c r="E27" s="65">
        <v>100</v>
      </c>
      <c r="F27" s="43">
        <f t="shared" si="6"/>
        <v>100</v>
      </c>
      <c r="G27" s="42">
        <f t="shared" ref="G27:AI27" si="11">F27+(G13*F27)</f>
        <v>102</v>
      </c>
      <c r="H27" s="42">
        <f t="shared" si="11"/>
        <v>104.04</v>
      </c>
      <c r="I27" s="42">
        <f t="shared" si="11"/>
        <v>106.1208</v>
      </c>
      <c r="J27" s="44">
        <f t="shared" si="11"/>
        <v>108.243216</v>
      </c>
      <c r="K27" s="42">
        <f t="shared" si="11"/>
        <v>110.40808032000001</v>
      </c>
      <c r="L27" s="42">
        <f t="shared" si="11"/>
        <v>112.61624192640001</v>
      </c>
      <c r="M27" s="42">
        <f t="shared" si="11"/>
        <v>114.868566764928</v>
      </c>
      <c r="N27" s="42">
        <f t="shared" si="11"/>
        <v>117.16593810022657</v>
      </c>
      <c r="O27" s="42">
        <f t="shared" si="11"/>
        <v>119.5092568622311</v>
      </c>
      <c r="P27" s="42">
        <f t="shared" si="11"/>
        <v>121.89944199947573</v>
      </c>
      <c r="Q27" s="42">
        <f t="shared" si="11"/>
        <v>124.33743083946524</v>
      </c>
      <c r="R27" s="42">
        <f t="shared" si="11"/>
        <v>126.82417945625454</v>
      </c>
      <c r="S27" s="42">
        <f t="shared" si="11"/>
        <v>129.36066304537962</v>
      </c>
      <c r="T27" s="44">
        <f t="shared" si="11"/>
        <v>131.94787630628721</v>
      </c>
      <c r="U27" s="42">
        <f t="shared" si="11"/>
        <v>134.58683383241296</v>
      </c>
      <c r="V27" s="42">
        <f t="shared" si="11"/>
        <v>137.27857050906121</v>
      </c>
      <c r="W27" s="42">
        <f t="shared" si="11"/>
        <v>140.02414191924242</v>
      </c>
      <c r="X27" s="42">
        <f t="shared" si="11"/>
        <v>142.82462475762728</v>
      </c>
      <c r="Y27" s="42">
        <f t="shared" si="11"/>
        <v>145.68111725277981</v>
      </c>
      <c r="Z27" s="42">
        <f t="shared" si="11"/>
        <v>148.5947395978354</v>
      </c>
      <c r="AA27" s="42">
        <f t="shared" si="11"/>
        <v>151.56663438979211</v>
      </c>
      <c r="AB27" s="42">
        <f t="shared" si="11"/>
        <v>154.59796707758795</v>
      </c>
      <c r="AC27" s="42">
        <f t="shared" si="11"/>
        <v>157.68992641913971</v>
      </c>
      <c r="AD27" s="42">
        <f t="shared" si="11"/>
        <v>160.8437249475225</v>
      </c>
      <c r="AE27" s="42">
        <f t="shared" si="11"/>
        <v>164.06059944647296</v>
      </c>
      <c r="AF27" s="42">
        <f t="shared" si="11"/>
        <v>167.34181143540243</v>
      </c>
      <c r="AG27" s="42">
        <f t="shared" si="11"/>
        <v>170.68864766411048</v>
      </c>
      <c r="AH27" s="42">
        <f t="shared" si="11"/>
        <v>174.10242061739268</v>
      </c>
      <c r="AI27" s="45">
        <f t="shared" si="11"/>
        <v>177.58446902974055</v>
      </c>
    </row>
    <row r="28" spans="1:35">
      <c r="B28" s="152" t="s">
        <v>66</v>
      </c>
      <c r="C28" s="137"/>
      <c r="D28" s="2" t="s">
        <v>61</v>
      </c>
      <c r="E28" s="65">
        <v>725</v>
      </c>
      <c r="F28" s="43">
        <f t="shared" si="6"/>
        <v>725</v>
      </c>
      <c r="G28" s="42">
        <f t="shared" ref="G28:AI28" si="12">F28+(G13*F28)</f>
        <v>739.5</v>
      </c>
      <c r="H28" s="42">
        <f t="shared" si="12"/>
        <v>754.29</v>
      </c>
      <c r="I28" s="42">
        <f t="shared" si="12"/>
        <v>769.37579999999991</v>
      </c>
      <c r="J28" s="44">
        <f t="shared" si="12"/>
        <v>784.76331599999992</v>
      </c>
      <c r="K28" s="42">
        <f t="shared" si="12"/>
        <v>800.45858231999989</v>
      </c>
      <c r="L28" s="42">
        <f t="shared" si="12"/>
        <v>816.46775396639987</v>
      </c>
      <c r="M28" s="42">
        <f t="shared" si="12"/>
        <v>832.79710904572789</v>
      </c>
      <c r="N28" s="42">
        <f t="shared" si="12"/>
        <v>849.4530512266424</v>
      </c>
      <c r="O28" s="42">
        <f t="shared" si="12"/>
        <v>866.44211225117522</v>
      </c>
      <c r="P28" s="42">
        <f t="shared" si="12"/>
        <v>883.77095449619867</v>
      </c>
      <c r="Q28" s="42">
        <f t="shared" si="12"/>
        <v>901.4463735861226</v>
      </c>
      <c r="R28" s="42">
        <f t="shared" si="12"/>
        <v>919.47530105784506</v>
      </c>
      <c r="S28" s="42">
        <f t="shared" si="12"/>
        <v>937.86480707900193</v>
      </c>
      <c r="T28" s="44">
        <f t="shared" si="12"/>
        <v>956.62210322058195</v>
      </c>
      <c r="U28" s="42">
        <f t="shared" si="12"/>
        <v>975.75454528499358</v>
      </c>
      <c r="V28" s="42">
        <f t="shared" si="12"/>
        <v>995.2696361906934</v>
      </c>
      <c r="W28" s="42">
        <f t="shared" si="12"/>
        <v>1015.1750289145073</v>
      </c>
      <c r="X28" s="42">
        <f t="shared" si="12"/>
        <v>1035.4785294927974</v>
      </c>
      <c r="Y28" s="42">
        <f t="shared" si="12"/>
        <v>1056.1881000826534</v>
      </c>
      <c r="Z28" s="42">
        <f t="shared" si="12"/>
        <v>1077.3118620843065</v>
      </c>
      <c r="AA28" s="42">
        <f t="shared" si="12"/>
        <v>1098.8580993259927</v>
      </c>
      <c r="AB28" s="42">
        <f t="shared" si="12"/>
        <v>1120.8352613125126</v>
      </c>
      <c r="AC28" s="42">
        <f t="shared" si="12"/>
        <v>1143.2519665387629</v>
      </c>
      <c r="AD28" s="42">
        <f t="shared" si="12"/>
        <v>1166.1170058695382</v>
      </c>
      <c r="AE28" s="42">
        <f t="shared" si="12"/>
        <v>1189.4393459869289</v>
      </c>
      <c r="AF28" s="42">
        <f t="shared" si="12"/>
        <v>1213.2281329066675</v>
      </c>
      <c r="AG28" s="42">
        <f t="shared" si="12"/>
        <v>1237.4926955648009</v>
      </c>
      <c r="AH28" s="42">
        <f t="shared" si="12"/>
        <v>1262.2425494760969</v>
      </c>
      <c r="AI28" s="45">
        <f t="shared" si="12"/>
        <v>1287.4874004656187</v>
      </c>
    </row>
    <row r="29" spans="1:35">
      <c r="B29" s="152" t="s">
        <v>67</v>
      </c>
      <c r="C29" s="137"/>
      <c r="D29" s="22" t="s">
        <v>68</v>
      </c>
      <c r="E29" s="66">
        <v>0.12</v>
      </c>
      <c r="F29" s="43">
        <f>E29*F20</f>
        <v>1221.0044399999999</v>
      </c>
      <c r="G29" s="42">
        <f t="shared" ref="G29:AI29" si="13">$E29*G20</f>
        <v>1245.4245288</v>
      </c>
      <c r="H29" s="42">
        <f t="shared" si="13"/>
        <v>1270.333019376</v>
      </c>
      <c r="I29" s="42">
        <f t="shared" si="13"/>
        <v>1295.7396797635201</v>
      </c>
      <c r="J29" s="44">
        <f t="shared" si="13"/>
        <v>1321.6544733587905</v>
      </c>
      <c r="K29" s="42">
        <f t="shared" si="13"/>
        <v>1348.0875628259662</v>
      </c>
      <c r="L29" s="42">
        <f t="shared" si="13"/>
        <v>1375.0493140824856</v>
      </c>
      <c r="M29" s="42">
        <f t="shared" si="13"/>
        <v>1402.5503003641354</v>
      </c>
      <c r="N29" s="42">
        <f t="shared" si="13"/>
        <v>1430.6013063714179</v>
      </c>
      <c r="O29" s="42">
        <f t="shared" si="13"/>
        <v>1459.2133324988463</v>
      </c>
      <c r="P29" s="42">
        <f t="shared" si="13"/>
        <v>1488.3975991488232</v>
      </c>
      <c r="Q29" s="42">
        <f t="shared" si="13"/>
        <v>1518.1655511317997</v>
      </c>
      <c r="R29" s="42">
        <f t="shared" si="13"/>
        <v>1548.5288621544355</v>
      </c>
      <c r="S29" s="42">
        <f t="shared" si="13"/>
        <v>1579.4994393975244</v>
      </c>
      <c r="T29" s="44">
        <f t="shared" si="13"/>
        <v>1611.0894281854748</v>
      </c>
      <c r="U29" s="42">
        <f t="shared" si="13"/>
        <v>1643.3112167491845</v>
      </c>
      <c r="V29" s="42">
        <f t="shared" si="13"/>
        <v>1676.1774410841681</v>
      </c>
      <c r="W29" s="42">
        <f t="shared" si="13"/>
        <v>1709.7009899058517</v>
      </c>
      <c r="X29" s="42">
        <f t="shared" si="13"/>
        <v>1743.8950097039685</v>
      </c>
      <c r="Y29" s="42">
        <f t="shared" si="13"/>
        <v>1778.7729098980481</v>
      </c>
      <c r="Z29" s="42">
        <f t="shared" si="13"/>
        <v>1814.3483680960087</v>
      </c>
      <c r="AA29" s="42">
        <f t="shared" si="13"/>
        <v>1850.6353354579289</v>
      </c>
      <c r="AB29" s="42">
        <f t="shared" si="13"/>
        <v>1887.6480421670876</v>
      </c>
      <c r="AC29" s="42">
        <f t="shared" si="13"/>
        <v>1925.4010030104293</v>
      </c>
      <c r="AD29" s="42">
        <f t="shared" si="13"/>
        <v>1963.9090230706379</v>
      </c>
      <c r="AE29" s="42">
        <f t="shared" si="13"/>
        <v>2003.1872035320505</v>
      </c>
      <c r="AF29" s="42">
        <f t="shared" si="13"/>
        <v>2043.2509476026914</v>
      </c>
      <c r="AG29" s="42">
        <f t="shared" si="13"/>
        <v>2084.1159665547452</v>
      </c>
      <c r="AH29" s="42">
        <f t="shared" si="13"/>
        <v>2125.7982858858404</v>
      </c>
      <c r="AI29" s="45">
        <f t="shared" si="13"/>
        <v>2168.3142516035568</v>
      </c>
    </row>
    <row r="30" spans="1:35">
      <c r="B30" s="152" t="s">
        <v>69</v>
      </c>
      <c r="C30" s="137"/>
      <c r="D30" s="22" t="s">
        <v>61</v>
      </c>
      <c r="E30" s="65">
        <v>0</v>
      </c>
      <c r="F30" s="43">
        <v>0</v>
      </c>
      <c r="G30" s="42">
        <f t="shared" ref="G30:AI30" si="14">F30+(G13*F30)</f>
        <v>0</v>
      </c>
      <c r="H30" s="42">
        <f t="shared" si="14"/>
        <v>0</v>
      </c>
      <c r="I30" s="42">
        <f t="shared" si="14"/>
        <v>0</v>
      </c>
      <c r="J30" s="44">
        <f t="shared" si="14"/>
        <v>0</v>
      </c>
      <c r="K30" s="42">
        <f t="shared" si="14"/>
        <v>0</v>
      </c>
      <c r="L30" s="42">
        <f t="shared" si="14"/>
        <v>0</v>
      </c>
      <c r="M30" s="42">
        <f t="shared" si="14"/>
        <v>0</v>
      </c>
      <c r="N30" s="42">
        <f t="shared" si="14"/>
        <v>0</v>
      </c>
      <c r="O30" s="42">
        <f t="shared" si="14"/>
        <v>0</v>
      </c>
      <c r="P30" s="42">
        <f t="shared" si="14"/>
        <v>0</v>
      </c>
      <c r="Q30" s="42">
        <f t="shared" si="14"/>
        <v>0</v>
      </c>
      <c r="R30" s="42">
        <f t="shared" si="14"/>
        <v>0</v>
      </c>
      <c r="S30" s="42">
        <f t="shared" si="14"/>
        <v>0</v>
      </c>
      <c r="T30" s="44">
        <f t="shared" si="14"/>
        <v>0</v>
      </c>
      <c r="U30" s="42">
        <f t="shared" si="14"/>
        <v>0</v>
      </c>
      <c r="V30" s="42">
        <f t="shared" si="14"/>
        <v>0</v>
      </c>
      <c r="W30" s="42">
        <f t="shared" si="14"/>
        <v>0</v>
      </c>
      <c r="X30" s="42">
        <f t="shared" si="14"/>
        <v>0</v>
      </c>
      <c r="Y30" s="42">
        <f t="shared" si="14"/>
        <v>0</v>
      </c>
      <c r="Z30" s="42">
        <f t="shared" si="14"/>
        <v>0</v>
      </c>
      <c r="AA30" s="42">
        <f t="shared" si="14"/>
        <v>0</v>
      </c>
      <c r="AB30" s="42">
        <f t="shared" si="14"/>
        <v>0</v>
      </c>
      <c r="AC30" s="42">
        <f t="shared" si="14"/>
        <v>0</v>
      </c>
      <c r="AD30" s="42">
        <f t="shared" si="14"/>
        <v>0</v>
      </c>
      <c r="AE30" s="42">
        <f t="shared" si="14"/>
        <v>0</v>
      </c>
      <c r="AF30" s="42">
        <f t="shared" si="14"/>
        <v>0</v>
      </c>
      <c r="AG30" s="42">
        <f t="shared" si="14"/>
        <v>0</v>
      </c>
      <c r="AH30" s="42">
        <f t="shared" si="14"/>
        <v>0</v>
      </c>
      <c r="AI30" s="45">
        <f t="shared" si="14"/>
        <v>0</v>
      </c>
    </row>
    <row r="31" spans="1:35">
      <c r="B31" s="152" t="s">
        <v>70</v>
      </c>
      <c r="C31" s="137"/>
      <c r="D31" s="2" t="s">
        <v>61</v>
      </c>
      <c r="E31" s="65">
        <v>0</v>
      </c>
      <c r="F31" s="43">
        <f>E31</f>
        <v>0</v>
      </c>
      <c r="G31" s="42">
        <f t="shared" ref="G31:AI31" si="15">F31+(G13*F31)</f>
        <v>0</v>
      </c>
      <c r="H31" s="42">
        <f t="shared" si="15"/>
        <v>0</v>
      </c>
      <c r="I31" s="42">
        <f t="shared" si="15"/>
        <v>0</v>
      </c>
      <c r="J31" s="44">
        <f t="shared" si="15"/>
        <v>0</v>
      </c>
      <c r="K31" s="42">
        <f t="shared" si="15"/>
        <v>0</v>
      </c>
      <c r="L31" s="42">
        <f t="shared" si="15"/>
        <v>0</v>
      </c>
      <c r="M31" s="42">
        <f t="shared" si="15"/>
        <v>0</v>
      </c>
      <c r="N31" s="42">
        <f t="shared" si="15"/>
        <v>0</v>
      </c>
      <c r="O31" s="42">
        <f t="shared" si="15"/>
        <v>0</v>
      </c>
      <c r="P31" s="42">
        <f t="shared" si="15"/>
        <v>0</v>
      </c>
      <c r="Q31" s="42">
        <f t="shared" si="15"/>
        <v>0</v>
      </c>
      <c r="R31" s="42">
        <f t="shared" si="15"/>
        <v>0</v>
      </c>
      <c r="S31" s="42">
        <f t="shared" si="15"/>
        <v>0</v>
      </c>
      <c r="T31" s="44">
        <f t="shared" si="15"/>
        <v>0</v>
      </c>
      <c r="U31" s="42">
        <f t="shared" si="15"/>
        <v>0</v>
      </c>
      <c r="V31" s="42">
        <f t="shared" si="15"/>
        <v>0</v>
      </c>
      <c r="W31" s="42">
        <f t="shared" si="15"/>
        <v>0</v>
      </c>
      <c r="X31" s="42">
        <f t="shared" si="15"/>
        <v>0</v>
      </c>
      <c r="Y31" s="42">
        <f t="shared" si="15"/>
        <v>0</v>
      </c>
      <c r="Z31" s="42">
        <f t="shared" si="15"/>
        <v>0</v>
      </c>
      <c r="AA31" s="42">
        <f t="shared" si="15"/>
        <v>0</v>
      </c>
      <c r="AB31" s="42">
        <f t="shared" si="15"/>
        <v>0</v>
      </c>
      <c r="AC31" s="42">
        <f t="shared" si="15"/>
        <v>0</v>
      </c>
      <c r="AD31" s="42">
        <f t="shared" si="15"/>
        <v>0</v>
      </c>
      <c r="AE31" s="42">
        <f t="shared" si="15"/>
        <v>0</v>
      </c>
      <c r="AF31" s="42">
        <f t="shared" si="15"/>
        <v>0</v>
      </c>
      <c r="AG31" s="42">
        <f t="shared" si="15"/>
        <v>0</v>
      </c>
      <c r="AH31" s="42">
        <f t="shared" si="15"/>
        <v>0</v>
      </c>
      <c r="AI31" s="45">
        <f t="shared" si="15"/>
        <v>0</v>
      </c>
    </row>
    <row r="32" spans="1:35">
      <c r="B32" s="152" t="s">
        <v>71</v>
      </c>
      <c r="C32" s="137"/>
      <c r="D32" s="2" t="s">
        <v>53</v>
      </c>
      <c r="E32" s="65">
        <v>0</v>
      </c>
      <c r="F32" s="43">
        <f>E32</f>
        <v>0</v>
      </c>
      <c r="G32" s="42">
        <f t="shared" ref="G32:AI32" si="16">F32+(G13*F32)</f>
        <v>0</v>
      </c>
      <c r="H32" s="42">
        <f t="shared" si="16"/>
        <v>0</v>
      </c>
      <c r="I32" s="42">
        <f t="shared" si="16"/>
        <v>0</v>
      </c>
      <c r="J32" s="44">
        <f t="shared" si="16"/>
        <v>0</v>
      </c>
      <c r="K32" s="42">
        <f t="shared" si="16"/>
        <v>0</v>
      </c>
      <c r="L32" s="42">
        <f t="shared" si="16"/>
        <v>0</v>
      </c>
      <c r="M32" s="42">
        <f t="shared" si="16"/>
        <v>0</v>
      </c>
      <c r="N32" s="42">
        <f t="shared" si="16"/>
        <v>0</v>
      </c>
      <c r="O32" s="42">
        <f t="shared" si="16"/>
        <v>0</v>
      </c>
      <c r="P32" s="42">
        <f t="shared" si="16"/>
        <v>0</v>
      </c>
      <c r="Q32" s="42">
        <f t="shared" si="16"/>
        <v>0</v>
      </c>
      <c r="R32" s="42">
        <f t="shared" si="16"/>
        <v>0</v>
      </c>
      <c r="S32" s="42">
        <f t="shared" si="16"/>
        <v>0</v>
      </c>
      <c r="T32" s="44">
        <f t="shared" si="16"/>
        <v>0</v>
      </c>
      <c r="U32" s="42">
        <f t="shared" si="16"/>
        <v>0</v>
      </c>
      <c r="V32" s="42">
        <f t="shared" si="16"/>
        <v>0</v>
      </c>
      <c r="W32" s="42">
        <f t="shared" si="16"/>
        <v>0</v>
      </c>
      <c r="X32" s="42">
        <f t="shared" si="16"/>
        <v>0</v>
      </c>
      <c r="Y32" s="42">
        <f t="shared" si="16"/>
        <v>0</v>
      </c>
      <c r="Z32" s="42">
        <f t="shared" si="16"/>
        <v>0</v>
      </c>
      <c r="AA32" s="42">
        <f t="shared" si="16"/>
        <v>0</v>
      </c>
      <c r="AB32" s="42">
        <f t="shared" si="16"/>
        <v>0</v>
      </c>
      <c r="AC32" s="42">
        <f t="shared" si="16"/>
        <v>0</v>
      </c>
      <c r="AD32" s="42">
        <f t="shared" si="16"/>
        <v>0</v>
      </c>
      <c r="AE32" s="42">
        <f t="shared" si="16"/>
        <v>0</v>
      </c>
      <c r="AF32" s="42">
        <f t="shared" si="16"/>
        <v>0</v>
      </c>
      <c r="AG32" s="42">
        <f t="shared" si="16"/>
        <v>0</v>
      </c>
      <c r="AH32" s="42">
        <f t="shared" si="16"/>
        <v>0</v>
      </c>
      <c r="AI32" s="45">
        <f t="shared" si="16"/>
        <v>0</v>
      </c>
    </row>
    <row r="33" spans="2:35">
      <c r="B33" s="48" t="s">
        <v>72</v>
      </c>
      <c r="C33" s="49"/>
      <c r="D33" s="52"/>
      <c r="E33" s="52"/>
      <c r="F33" s="51">
        <f>SUM(F23:F32)</f>
        <v>4626.0044399999997</v>
      </c>
      <c r="G33" s="67">
        <f>SUM(G23:G32)</f>
        <v>4718.5245287999996</v>
      </c>
      <c r="H33" s="67">
        <f t="shared" ref="H33:AI33" si="17">SUM(H23:H32)</f>
        <v>4812.8950193760002</v>
      </c>
      <c r="I33" s="67">
        <f t="shared" si="17"/>
        <v>4909.1529197635209</v>
      </c>
      <c r="J33" s="68">
        <f t="shared" si="17"/>
        <v>5007.3359781587906</v>
      </c>
      <c r="K33" s="67">
        <f t="shared" si="17"/>
        <v>5107.4826977219664</v>
      </c>
      <c r="L33" s="67">
        <f t="shared" si="17"/>
        <v>5209.6323516764051</v>
      </c>
      <c r="M33" s="67">
        <f t="shared" si="17"/>
        <v>5313.8249987099325</v>
      </c>
      <c r="N33" s="67">
        <f t="shared" si="17"/>
        <v>5420.1014986841319</v>
      </c>
      <c r="O33" s="67">
        <f t="shared" si="17"/>
        <v>5528.503528657815</v>
      </c>
      <c r="P33" s="67">
        <f t="shared" si="17"/>
        <v>5639.0735992309701</v>
      </c>
      <c r="Q33" s="67">
        <f t="shared" si="17"/>
        <v>5751.8550712155902</v>
      </c>
      <c r="R33" s="67">
        <f t="shared" si="17"/>
        <v>5866.8921726399021</v>
      </c>
      <c r="S33" s="67">
        <f t="shared" si="17"/>
        <v>5984.2300160927007</v>
      </c>
      <c r="T33" s="68">
        <f t="shared" si="17"/>
        <v>6103.9146164145532</v>
      </c>
      <c r="U33" s="67">
        <f t="shared" si="17"/>
        <v>6225.9929087428454</v>
      </c>
      <c r="V33" s="67">
        <f t="shared" si="17"/>
        <v>6350.5127669177027</v>
      </c>
      <c r="W33" s="67">
        <f t="shared" si="17"/>
        <v>6477.5230222560567</v>
      </c>
      <c r="X33" s="67">
        <f t="shared" si="17"/>
        <v>6607.0734827011765</v>
      </c>
      <c r="Y33" s="67">
        <f t="shared" si="17"/>
        <v>6739.2149523552007</v>
      </c>
      <c r="Z33" s="67">
        <f t="shared" si="17"/>
        <v>6873.9992514023052</v>
      </c>
      <c r="AA33" s="67">
        <f t="shared" si="17"/>
        <v>7011.4792364303503</v>
      </c>
      <c r="AB33" s="67">
        <f t="shared" si="17"/>
        <v>7151.708821158958</v>
      </c>
      <c r="AC33" s="67">
        <f t="shared" si="17"/>
        <v>7294.742997582136</v>
      </c>
      <c r="AD33" s="67">
        <f t="shared" si="17"/>
        <v>7440.6378575337794</v>
      </c>
      <c r="AE33" s="67">
        <f t="shared" si="17"/>
        <v>7589.4506146844551</v>
      </c>
      <c r="AF33" s="67">
        <f t="shared" si="17"/>
        <v>7741.2396269781439</v>
      </c>
      <c r="AG33" s="67">
        <f t="shared" si="17"/>
        <v>7896.0644195177065</v>
      </c>
      <c r="AH33" s="67">
        <f t="shared" si="17"/>
        <v>8053.9857079080602</v>
      </c>
      <c r="AI33" s="67">
        <f t="shared" si="17"/>
        <v>8215.0654220662218</v>
      </c>
    </row>
    <row r="34" spans="2:35">
      <c r="B34" s="22" t="s">
        <v>83</v>
      </c>
      <c r="C34" s="22"/>
      <c r="D34" s="22"/>
      <c r="E34" s="22"/>
      <c r="F34" s="69">
        <f>(F33-F19)/F17</f>
        <v>0.50008715675675675</v>
      </c>
      <c r="G34" s="70">
        <f>(G33-G19)/G17</f>
        <v>0.50008715675675675</v>
      </c>
      <c r="H34" s="70">
        <f t="shared" ref="H34:AI34" si="18">(H33-H19)/H17</f>
        <v>0.50008715675675675</v>
      </c>
      <c r="I34" s="70">
        <f t="shared" si="18"/>
        <v>0.50008715675675686</v>
      </c>
      <c r="J34" s="71">
        <f t="shared" si="18"/>
        <v>0.50008715675675675</v>
      </c>
      <c r="K34" s="70">
        <f t="shared" si="18"/>
        <v>0.50008715675675675</v>
      </c>
      <c r="L34" s="70">
        <f t="shared" si="18"/>
        <v>0.50008715675675663</v>
      </c>
      <c r="M34" s="70">
        <f t="shared" si="18"/>
        <v>0.50008715675675663</v>
      </c>
      <c r="N34" s="70">
        <f t="shared" si="18"/>
        <v>0.50008715675675675</v>
      </c>
      <c r="O34" s="70">
        <f t="shared" si="18"/>
        <v>0.50008715675675675</v>
      </c>
      <c r="P34" s="70">
        <f t="shared" si="18"/>
        <v>0.50008715675675663</v>
      </c>
      <c r="Q34" s="70">
        <f t="shared" si="18"/>
        <v>0.50008715675675675</v>
      </c>
      <c r="R34" s="70">
        <f t="shared" si="18"/>
        <v>0.50008715675675675</v>
      </c>
      <c r="S34" s="70">
        <f t="shared" si="18"/>
        <v>0.50008715675675675</v>
      </c>
      <c r="T34" s="71">
        <f t="shared" si="18"/>
        <v>0.50008715675675663</v>
      </c>
      <c r="U34" s="70">
        <f t="shared" si="18"/>
        <v>0.50008715675675675</v>
      </c>
      <c r="V34" s="70">
        <f t="shared" si="18"/>
        <v>0.50008715675675675</v>
      </c>
      <c r="W34" s="70">
        <f t="shared" si="18"/>
        <v>0.50008715675675675</v>
      </c>
      <c r="X34" s="70">
        <f t="shared" si="18"/>
        <v>0.50008715675675663</v>
      </c>
      <c r="Y34" s="70">
        <f t="shared" si="18"/>
        <v>0.50008715675675675</v>
      </c>
      <c r="Z34" s="70">
        <f t="shared" si="18"/>
        <v>0.50008715675675675</v>
      </c>
      <c r="AA34" s="70">
        <f t="shared" si="18"/>
        <v>0.50008715675675663</v>
      </c>
      <c r="AB34" s="70">
        <f t="shared" si="18"/>
        <v>0.50008715675675663</v>
      </c>
      <c r="AC34" s="70">
        <f t="shared" si="18"/>
        <v>0.50008715675675663</v>
      </c>
      <c r="AD34" s="70">
        <f t="shared" si="18"/>
        <v>0.50008715675675675</v>
      </c>
      <c r="AE34" s="70">
        <f t="shared" si="18"/>
        <v>0.50008715675675675</v>
      </c>
      <c r="AF34" s="70">
        <f t="shared" si="18"/>
        <v>0.50008715675675675</v>
      </c>
      <c r="AG34" s="70">
        <f t="shared" si="18"/>
        <v>0.50008715675675675</v>
      </c>
      <c r="AH34" s="70">
        <f t="shared" si="18"/>
        <v>0.50008715675675663</v>
      </c>
      <c r="AI34" s="70">
        <f t="shared" si="18"/>
        <v>0.50008715675675675</v>
      </c>
    </row>
    <row r="35" spans="2:35">
      <c r="B35" s="22"/>
      <c r="C35" s="22"/>
      <c r="D35" s="22"/>
      <c r="E35" s="22"/>
      <c r="F35" s="55"/>
      <c r="G35" s="22"/>
      <c r="H35" s="22"/>
      <c r="I35" s="22"/>
      <c r="J35" s="56"/>
      <c r="K35" s="22"/>
      <c r="L35" s="22"/>
      <c r="O35" s="57"/>
      <c r="P35" s="57"/>
      <c r="Q35" s="57"/>
      <c r="R35" s="57"/>
      <c r="S35" s="57"/>
      <c r="T35" s="72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</row>
    <row r="36" spans="2:35">
      <c r="B36" s="73" t="s">
        <v>73</v>
      </c>
      <c r="C36" s="74"/>
      <c r="D36" s="75"/>
      <c r="E36" s="75"/>
      <c r="F36" s="76">
        <f t="shared" ref="F36:AI36" si="19">F20-F33</f>
        <v>5549.0325600000006</v>
      </c>
      <c r="G36" s="77">
        <f t="shared" si="19"/>
        <v>5660.0132112000001</v>
      </c>
      <c r="H36" s="77">
        <f t="shared" si="19"/>
        <v>5773.2134754240005</v>
      </c>
      <c r="I36" s="77">
        <f t="shared" si="19"/>
        <v>5888.67774493248</v>
      </c>
      <c r="J36" s="78">
        <f t="shared" si="19"/>
        <v>6006.4512998311302</v>
      </c>
      <c r="K36" s="77">
        <f t="shared" si="19"/>
        <v>6126.5803258277529</v>
      </c>
      <c r="L36" s="77">
        <f t="shared" si="19"/>
        <v>6249.1119323443081</v>
      </c>
      <c r="M36" s="77">
        <f t="shared" si="19"/>
        <v>6374.0941709911958</v>
      </c>
      <c r="N36" s="77">
        <f t="shared" si="19"/>
        <v>6501.5760544110171</v>
      </c>
      <c r="O36" s="77">
        <f t="shared" si="19"/>
        <v>6631.607575499238</v>
      </c>
      <c r="P36" s="77">
        <f t="shared" si="19"/>
        <v>6764.2397270092233</v>
      </c>
      <c r="Q36" s="77">
        <f t="shared" si="19"/>
        <v>6899.5245215494069</v>
      </c>
      <c r="R36" s="77">
        <f t="shared" si="19"/>
        <v>7037.5150119803948</v>
      </c>
      <c r="S36" s="77">
        <f t="shared" si="19"/>
        <v>7178.2653122200027</v>
      </c>
      <c r="T36" s="78">
        <f t="shared" si="19"/>
        <v>7321.8306184644043</v>
      </c>
      <c r="U36" s="77">
        <f t="shared" si="19"/>
        <v>7468.2672308336923</v>
      </c>
      <c r="V36" s="77">
        <f t="shared" si="19"/>
        <v>7617.6325754503659</v>
      </c>
      <c r="W36" s="77">
        <f t="shared" si="19"/>
        <v>7769.9852269593739</v>
      </c>
      <c r="X36" s="77">
        <f t="shared" si="19"/>
        <v>7925.3849314985619</v>
      </c>
      <c r="Y36" s="77">
        <f t="shared" si="19"/>
        <v>8083.8926301285328</v>
      </c>
      <c r="Z36" s="77">
        <f t="shared" si="19"/>
        <v>8245.5704827311019</v>
      </c>
      <c r="AA36" s="77">
        <f t="shared" si="19"/>
        <v>8410.4818923857256</v>
      </c>
      <c r="AB36" s="77">
        <f t="shared" si="19"/>
        <v>8578.6915302334401</v>
      </c>
      <c r="AC36" s="77">
        <f t="shared" si="19"/>
        <v>8750.2653608381097</v>
      </c>
      <c r="AD36" s="77">
        <f t="shared" si="19"/>
        <v>8925.270668054869</v>
      </c>
      <c r="AE36" s="77">
        <f t="shared" si="19"/>
        <v>9103.7760814159665</v>
      </c>
      <c r="AF36" s="77">
        <f t="shared" si="19"/>
        <v>9285.8516030442861</v>
      </c>
      <c r="AG36" s="77">
        <f t="shared" si="19"/>
        <v>9471.5686351051718</v>
      </c>
      <c r="AH36" s="77">
        <f t="shared" si="19"/>
        <v>9661.0000078072771</v>
      </c>
      <c r="AI36" s="77">
        <f t="shared" si="19"/>
        <v>9854.2200079634204</v>
      </c>
    </row>
    <row r="37" spans="2:35">
      <c r="F37" s="79"/>
      <c r="J37" s="58"/>
      <c r="T37" s="80"/>
    </row>
    <row r="38" spans="2:35">
      <c r="B38" s="153" t="s">
        <v>74</v>
      </c>
      <c r="C38" s="154"/>
      <c r="D38" s="81"/>
      <c r="E38" s="81"/>
      <c r="F38" s="36"/>
      <c r="G38" s="81"/>
      <c r="H38" s="81"/>
      <c r="I38" s="81"/>
      <c r="J38" s="82"/>
      <c r="K38" s="81"/>
      <c r="L38" s="81"/>
      <c r="M38" s="83"/>
      <c r="N38" s="83"/>
      <c r="O38" s="83"/>
      <c r="P38" s="83"/>
      <c r="Q38" s="83"/>
      <c r="R38" s="83"/>
      <c r="S38" s="83"/>
      <c r="T38" s="84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5"/>
    </row>
    <row r="39" spans="2:35">
      <c r="B39" s="152" t="s">
        <v>75</v>
      </c>
      <c r="C39" s="137"/>
      <c r="D39" s="2"/>
      <c r="E39" s="42">
        <f>F39/12</f>
        <v>462.41938000000005</v>
      </c>
      <c r="F39" s="43">
        <f>F36</f>
        <v>5549.0325600000006</v>
      </c>
      <c r="G39" s="42">
        <f t="shared" ref="G39:O39" si="20">G36</f>
        <v>5660.0132112000001</v>
      </c>
      <c r="H39" s="42">
        <f t="shared" si="20"/>
        <v>5773.2134754240005</v>
      </c>
      <c r="I39" s="42">
        <f t="shared" si="20"/>
        <v>5888.67774493248</v>
      </c>
      <c r="J39" s="44">
        <f t="shared" si="20"/>
        <v>6006.4512998311302</v>
      </c>
      <c r="K39" s="42">
        <f t="shared" si="20"/>
        <v>6126.5803258277529</v>
      </c>
      <c r="L39" s="42">
        <f t="shared" si="20"/>
        <v>6249.1119323443081</v>
      </c>
      <c r="M39" s="42">
        <f t="shared" si="20"/>
        <v>6374.0941709911958</v>
      </c>
      <c r="N39" s="42">
        <f t="shared" si="20"/>
        <v>6501.5760544110171</v>
      </c>
      <c r="O39" s="42">
        <f t="shared" si="20"/>
        <v>6631.607575499238</v>
      </c>
      <c r="P39" s="42">
        <f>P36</f>
        <v>6764.2397270092233</v>
      </c>
      <c r="Q39" s="42">
        <f>Q36</f>
        <v>6899.5245215494069</v>
      </c>
      <c r="R39" s="42">
        <f>R36</f>
        <v>7037.5150119803948</v>
      </c>
      <c r="S39" s="42">
        <f>S36</f>
        <v>7178.2653122200027</v>
      </c>
      <c r="T39" s="44">
        <f>T36</f>
        <v>7321.8306184644043</v>
      </c>
      <c r="U39" s="42">
        <f t="shared" ref="U39:AD39" si="21">U36</f>
        <v>7468.2672308336923</v>
      </c>
      <c r="V39" s="42">
        <f t="shared" si="21"/>
        <v>7617.6325754503659</v>
      </c>
      <c r="W39" s="42">
        <f t="shared" si="21"/>
        <v>7769.9852269593739</v>
      </c>
      <c r="X39" s="42">
        <f t="shared" si="21"/>
        <v>7925.3849314985619</v>
      </c>
      <c r="Y39" s="42">
        <f t="shared" si="21"/>
        <v>8083.8926301285328</v>
      </c>
      <c r="Z39" s="42">
        <f t="shared" si="21"/>
        <v>8245.5704827311019</v>
      </c>
      <c r="AA39" s="42">
        <f t="shared" si="21"/>
        <v>8410.4818923857256</v>
      </c>
      <c r="AB39" s="42">
        <f t="shared" si="21"/>
        <v>8578.6915302334401</v>
      </c>
      <c r="AC39" s="42">
        <f t="shared" si="21"/>
        <v>8750.2653608381097</v>
      </c>
      <c r="AD39" s="42">
        <f t="shared" si="21"/>
        <v>8925.270668054869</v>
      </c>
      <c r="AE39" s="42">
        <f>AE36</f>
        <v>9103.7760814159665</v>
      </c>
      <c r="AF39" s="42">
        <f>AF36</f>
        <v>9285.8516030442861</v>
      </c>
      <c r="AG39" s="42">
        <f>AG36</f>
        <v>9471.5686351051718</v>
      </c>
      <c r="AH39" s="42">
        <f>AH36</f>
        <v>9661.0000078072771</v>
      </c>
      <c r="AI39" s="45">
        <f>AI36</f>
        <v>9854.2200079634204</v>
      </c>
    </row>
    <row r="40" spans="2:35">
      <c r="B40" s="155" t="s">
        <v>76</v>
      </c>
      <c r="C40" s="156"/>
      <c r="D40" s="57"/>
      <c r="E40" s="42">
        <f>H8</f>
        <v>278.10993033690505</v>
      </c>
      <c r="F40" s="43">
        <f>E40*12</f>
        <v>3337.3191640428604</v>
      </c>
      <c r="G40" s="42">
        <f t="shared" ref="G40:AD40" si="22">F40</f>
        <v>3337.3191640428604</v>
      </c>
      <c r="H40" s="42">
        <f t="shared" si="22"/>
        <v>3337.3191640428604</v>
      </c>
      <c r="I40" s="42">
        <f t="shared" si="22"/>
        <v>3337.3191640428604</v>
      </c>
      <c r="J40" s="44">
        <f t="shared" si="22"/>
        <v>3337.3191640428604</v>
      </c>
      <c r="K40" s="42">
        <f t="shared" si="22"/>
        <v>3337.3191640428604</v>
      </c>
      <c r="L40" s="42">
        <f t="shared" si="22"/>
        <v>3337.3191640428604</v>
      </c>
      <c r="M40" s="42">
        <f t="shared" si="22"/>
        <v>3337.3191640428604</v>
      </c>
      <c r="N40" s="42">
        <f t="shared" si="22"/>
        <v>3337.3191640428604</v>
      </c>
      <c r="O40" s="42">
        <f t="shared" si="22"/>
        <v>3337.3191640428604</v>
      </c>
      <c r="P40" s="42">
        <f t="shared" si="22"/>
        <v>3337.3191640428604</v>
      </c>
      <c r="Q40" s="42">
        <f t="shared" si="22"/>
        <v>3337.3191640428604</v>
      </c>
      <c r="R40" s="42">
        <f t="shared" si="22"/>
        <v>3337.3191640428604</v>
      </c>
      <c r="S40" s="42">
        <f t="shared" si="22"/>
        <v>3337.3191640428604</v>
      </c>
      <c r="T40" s="44">
        <f t="shared" si="22"/>
        <v>3337.3191640428604</v>
      </c>
      <c r="U40" s="42">
        <f t="shared" si="22"/>
        <v>3337.3191640428604</v>
      </c>
      <c r="V40" s="42">
        <f t="shared" si="22"/>
        <v>3337.3191640428604</v>
      </c>
      <c r="W40" s="42">
        <f t="shared" si="22"/>
        <v>3337.3191640428604</v>
      </c>
      <c r="X40" s="42">
        <f t="shared" si="22"/>
        <v>3337.3191640428604</v>
      </c>
      <c r="Y40" s="42">
        <f t="shared" si="22"/>
        <v>3337.3191640428604</v>
      </c>
      <c r="Z40" s="42">
        <f t="shared" si="22"/>
        <v>3337.3191640428604</v>
      </c>
      <c r="AA40" s="42">
        <f t="shared" si="22"/>
        <v>3337.3191640428604</v>
      </c>
      <c r="AB40" s="42">
        <f t="shared" si="22"/>
        <v>3337.3191640428604</v>
      </c>
      <c r="AC40" s="42">
        <f t="shared" si="22"/>
        <v>3337.3191640428604</v>
      </c>
      <c r="AD40" s="42">
        <f t="shared" si="22"/>
        <v>3337.3191640428604</v>
      </c>
      <c r="AE40" s="42">
        <f>AD40</f>
        <v>3337.3191640428604</v>
      </c>
      <c r="AF40" s="42">
        <f>AE40</f>
        <v>3337.3191640428604</v>
      </c>
      <c r="AG40" s="42">
        <f>AF40</f>
        <v>3337.3191640428604</v>
      </c>
      <c r="AH40" s="42">
        <f>AG40</f>
        <v>3337.3191640428604</v>
      </c>
      <c r="AI40" s="45">
        <f>AH40</f>
        <v>3337.3191640428604</v>
      </c>
    </row>
    <row r="41" spans="2:35">
      <c r="B41" s="157" t="s">
        <v>77</v>
      </c>
      <c r="C41" s="158"/>
      <c r="D41" s="88"/>
      <c r="E41" s="89">
        <f>E39-E40</f>
        <v>184.30944966309499</v>
      </c>
      <c r="F41" s="90">
        <f t="shared" ref="F41:O41" si="23">F39-F40</f>
        <v>2211.7133959571402</v>
      </c>
      <c r="G41" s="89">
        <f t="shared" si="23"/>
        <v>2322.6940471571397</v>
      </c>
      <c r="H41" s="89">
        <f t="shared" si="23"/>
        <v>2435.8943113811401</v>
      </c>
      <c r="I41" s="89">
        <f t="shared" si="23"/>
        <v>2551.3585808896196</v>
      </c>
      <c r="J41" s="91">
        <f t="shared" si="23"/>
        <v>2669.1321357882698</v>
      </c>
      <c r="K41" s="89">
        <f t="shared" si="23"/>
        <v>2789.2611617848925</v>
      </c>
      <c r="L41" s="89">
        <f t="shared" si="23"/>
        <v>2911.7927683014477</v>
      </c>
      <c r="M41" s="89">
        <f t="shared" si="23"/>
        <v>3036.7750069483354</v>
      </c>
      <c r="N41" s="89">
        <f t="shared" si="23"/>
        <v>3164.2568903681567</v>
      </c>
      <c r="O41" s="89">
        <f t="shared" si="23"/>
        <v>3294.2884114563776</v>
      </c>
      <c r="P41" s="89">
        <f>P39-P40</f>
        <v>3426.9205629663629</v>
      </c>
      <c r="Q41" s="89">
        <f>Q39-Q40</f>
        <v>3562.2053575065465</v>
      </c>
      <c r="R41" s="89">
        <f>R39-R40</f>
        <v>3700.1958479375344</v>
      </c>
      <c r="S41" s="89">
        <f>S39-S40</f>
        <v>3840.9461481771423</v>
      </c>
      <c r="T41" s="91">
        <f>T39-T40</f>
        <v>3984.5114544215439</v>
      </c>
      <c r="U41" s="89">
        <f t="shared" ref="U41:AD41" si="24">U39-U40</f>
        <v>4130.9480667908319</v>
      </c>
      <c r="V41" s="89">
        <f t="shared" si="24"/>
        <v>4280.3134114075056</v>
      </c>
      <c r="W41" s="89">
        <f t="shared" si="24"/>
        <v>4432.6660629165135</v>
      </c>
      <c r="X41" s="89">
        <f t="shared" si="24"/>
        <v>4588.0657674557015</v>
      </c>
      <c r="Y41" s="89">
        <f t="shared" si="24"/>
        <v>4746.5734660856724</v>
      </c>
      <c r="Z41" s="89">
        <f t="shared" si="24"/>
        <v>4908.2513186882416</v>
      </c>
      <c r="AA41" s="89">
        <f t="shared" si="24"/>
        <v>5073.1627283428652</v>
      </c>
      <c r="AB41" s="89">
        <f t="shared" si="24"/>
        <v>5241.3723661905797</v>
      </c>
      <c r="AC41" s="89">
        <f t="shared" si="24"/>
        <v>5412.9461967952493</v>
      </c>
      <c r="AD41" s="89">
        <f t="shared" si="24"/>
        <v>5587.9515040120086</v>
      </c>
      <c r="AE41" s="89">
        <f>AE39-AE40</f>
        <v>5766.4569173731061</v>
      </c>
      <c r="AF41" s="89">
        <f>AF39-AF40</f>
        <v>5948.5324390014257</v>
      </c>
      <c r="AG41" s="89">
        <f>AG39-AG40</f>
        <v>6134.2494710623114</v>
      </c>
      <c r="AH41" s="89">
        <f>AH39-AH40</f>
        <v>6323.6808437644167</v>
      </c>
      <c r="AI41" s="92">
        <f>AI39-AI40</f>
        <v>6516.90084392056</v>
      </c>
    </row>
    <row r="42" spans="2:35">
      <c r="B42" s="86" t="s">
        <v>18</v>
      </c>
      <c r="C42" s="87"/>
      <c r="D42" s="88"/>
      <c r="E42" s="89"/>
      <c r="F42" s="93">
        <f>F41/H9</f>
        <v>0.11198548840289317</v>
      </c>
      <c r="G42" s="94">
        <f>G41/H9</f>
        <v>0.11760476188137416</v>
      </c>
      <c r="H42" s="94">
        <f>H41/H9</f>
        <v>0.12333642082942482</v>
      </c>
      <c r="I42" s="94">
        <f>I41/H9</f>
        <v>0.12918271295643644</v>
      </c>
      <c r="J42" s="95">
        <f>J41/H9</f>
        <v>0.13514593092598834</v>
      </c>
      <c r="K42" s="94">
        <f>K41/H9</f>
        <v>0.14122841325493127</v>
      </c>
      <c r="L42" s="94">
        <f>L41/H9</f>
        <v>0.14743254523045304</v>
      </c>
      <c r="M42" s="94">
        <f>M41/H9</f>
        <v>0.15376075984548535</v>
      </c>
      <c r="N42" s="94">
        <f>N41/H9</f>
        <v>0.16021553875281808</v>
      </c>
      <c r="O42" s="94">
        <f>O41/H9</f>
        <v>0.16679941323829761</v>
      </c>
      <c r="P42" s="94">
        <f>P41/H9</f>
        <v>0.17351496521348672</v>
      </c>
      <c r="Q42" s="94">
        <f>Q41/H9</f>
        <v>0.18036482822817956</v>
      </c>
      <c r="R42" s="94">
        <f>R41/H9</f>
        <v>0.1873516885031663</v>
      </c>
      <c r="S42" s="94">
        <f>S41/H9</f>
        <v>0.19447828598365277</v>
      </c>
      <c r="T42" s="95">
        <f>T41/H9</f>
        <v>0.20174741541374905</v>
      </c>
      <c r="U42" s="94">
        <f>U41/H9</f>
        <v>0.20916192743244719</v>
      </c>
      <c r="V42" s="94">
        <f>V41/H9</f>
        <v>0.21672472969151926</v>
      </c>
      <c r="W42" s="94">
        <f>W41/H9</f>
        <v>0.22443878799577283</v>
      </c>
      <c r="X42" s="94">
        <f>X41/H9</f>
        <v>0.23230712746611146</v>
      </c>
      <c r="Y42" s="94">
        <f>Y41/H9</f>
        <v>0.24033283372585684</v>
      </c>
      <c r="Z42" s="94">
        <f>Z41/H9</f>
        <v>0.24851905411079703</v>
      </c>
      <c r="AA42" s="94">
        <f>AA41/H9</f>
        <v>0.25686899890343623</v>
      </c>
      <c r="AB42" s="94">
        <f>AB41/H9</f>
        <v>0.2653859425919281</v>
      </c>
      <c r="AC42" s="94">
        <f>AC41/H9</f>
        <v>0.27407322515418986</v>
      </c>
      <c r="AD42" s="94">
        <f>AD41/H9</f>
        <v>0.28293425336769662</v>
      </c>
      <c r="AE42" s="94">
        <f>AE41/H9</f>
        <v>0.29197250214547371</v>
      </c>
      <c r="AF42" s="94">
        <f>AF41/H9</f>
        <v>0.30119151589880638</v>
      </c>
      <c r="AG42" s="94">
        <f>AG41/H9</f>
        <v>0.31059490992720562</v>
      </c>
      <c r="AH42" s="94">
        <f>AH41/H9</f>
        <v>0.32018637183617299</v>
      </c>
      <c r="AI42" s="96">
        <f>AI41/H9</f>
        <v>0.32996966298331948</v>
      </c>
    </row>
    <row r="43" spans="2:35">
      <c r="B43" s="159" t="s">
        <v>78</v>
      </c>
      <c r="C43" s="160"/>
      <c r="D43" s="97"/>
      <c r="E43" s="98"/>
      <c r="F43" s="99">
        <f>-CUMPRINC(H6/12,12*H7, H4, 1, 12, 0)</f>
        <v>491.79920634240568</v>
      </c>
      <c r="G43" s="100">
        <f>-CUMPRINC(H6/12,12*H7, H4, 13, 24, 0)</f>
        <v>524.7359100045378</v>
      </c>
      <c r="H43" s="100">
        <f>-CUMPRINC(H6/12,12*H7, H4, 25, 36, 0)</f>
        <v>559.87844570978189</v>
      </c>
      <c r="I43" s="100">
        <f>-CUMPRINC(H6/12,12*H7, H4, 37, 48, 0)</f>
        <v>597.37454211527177</v>
      </c>
      <c r="J43" s="101">
        <f>-CUMPRINC(H6/12,12*H7, H4, 49, 60, 0)</f>
        <v>637.3818215399034</v>
      </c>
      <c r="K43" s="100">
        <f>-CUMPRINC(H6/12,12*H7, H4, 61, 72, 0)</f>
        <v>680.0684625611857</v>
      </c>
      <c r="L43" s="100">
        <f>-CUMPRINC(H6/12,12*H7, H4, 73, 84, 0)</f>
        <v>725.61390698743094</v>
      </c>
      <c r="M43" s="100">
        <f>-CUMPRINC(H6/12,12*H7, H4, 85, 96, 0)</f>
        <v>774.20961417718013</v>
      </c>
      <c r="N43" s="100">
        <f>-CUMPRINC(H6/12,12*H7, H4, 97, 108, 0)</f>
        <v>826.0598658768007</v>
      </c>
      <c r="O43" s="100">
        <f>-CUMPRINC(H6/12,12*H7, H4, 109, 120, 0)</f>
        <v>881.38262495954268</v>
      </c>
      <c r="P43" s="100">
        <f>-CUMPRINC(H6/12,12*H7, H4, 121, 132, 0)</f>
        <v>940.410451675947</v>
      </c>
      <c r="Q43" s="100">
        <f>-CUMPRINC(H6/12,12*H7, H4, 133, 144, 0)</f>
        <v>1003.391481267234</v>
      </c>
      <c r="R43" s="100">
        <f>-CUMPRINC(H6/12,12*H7, H4, 145, 156, 0)</f>
        <v>1070.5904670512771</v>
      </c>
      <c r="S43" s="100">
        <f>-CUMPRINC(H6/12,12*H7, H4, 157, 168, 0)</f>
        <v>1142.2898933659694</v>
      </c>
      <c r="T43" s="101">
        <f>-CUMPRINC(H6/12,12*H7, H4, 169, 180, 0)</f>
        <v>1218.7911630484764</v>
      </c>
      <c r="U43" s="100">
        <f>-CUMPRINC(H6/12,12*H7, H4, 181, 192, 0)</f>
        <v>1300.4158644421666</v>
      </c>
      <c r="V43" s="100">
        <f>-CUMPRINC(H6/12,12*H7, H4, 193, 204, 0)</f>
        <v>1387.5071232573473</v>
      </c>
      <c r="W43" s="100">
        <f>-CUMPRINC(H6/12,12*H7, H4, 205, 216, 0)</f>
        <v>1480.4310449686132</v>
      </c>
      <c r="X43" s="100">
        <f>-CUMPRINC(H6/12,12*H7, H4, 217, 228, 0)</f>
        <v>1579.5782538122219</v>
      </c>
      <c r="Y43" s="100">
        <f>-CUMPRINC(H6/12,12*H7, H4, 229, 240, 0)</f>
        <v>1685.365534852971</v>
      </c>
      <c r="Z43" s="100">
        <f>-CUMPRINC(H6/12,12*H7, H4, 241, 252, 0)</f>
        <v>1798.2375860233331</v>
      </c>
      <c r="AA43" s="100">
        <f>-CUMPRINC(H6/12,12*H7, H4, 253, 264, 0)</f>
        <v>1918.668887499899</v>
      </c>
      <c r="AB43" s="100">
        <f>-CUMPRINC(H6/12,12*H7, H4, 265, 276, 0)</f>
        <v>2047.1656962754278</v>
      </c>
      <c r="AC43" s="100">
        <f>-CUMPRINC(H6/12,12*H7, H4, 277, 288, 0)</f>
        <v>2184.2681743110702</v>
      </c>
      <c r="AD43" s="100">
        <f>-CUMPRINC(H6/12,12*H7, H4, 289, 300, 0)</f>
        <v>2330.5526592148976</v>
      </c>
      <c r="AE43" s="100">
        <f>-CUMPRINC(H6/12,12*H7, H4, 301, 312, 0)</f>
        <v>2486.6340869919732</v>
      </c>
      <c r="AF43" s="100">
        <f>-CUMPRINC(H6/12,12*H7, H4, 313, 324, 0)</f>
        <v>2653.1685770504796</v>
      </c>
      <c r="AG43" s="100">
        <f>-CUMPRINC(H6/12,12*H7, H4, 325, 336, 0)</f>
        <v>2830.8561903305044</v>
      </c>
      <c r="AH43" s="100">
        <f>-CUMPRINC(H6/12,12*H7, H4, 337, 348, 0)</f>
        <v>3020.4438721498036</v>
      </c>
      <c r="AI43" s="102">
        <f>-CUMPRINC(H6/12,12*H7, H4, 349, 360, 0)</f>
        <v>3222.72859213741</v>
      </c>
    </row>
    <row r="44" spans="2:35">
      <c r="B44" s="157" t="s">
        <v>79</v>
      </c>
      <c r="C44" s="158"/>
      <c r="D44" s="88"/>
      <c r="E44" s="89"/>
      <c r="F44" s="90">
        <f>F41+F43</f>
        <v>2703.512602299546</v>
      </c>
      <c r="G44" s="89">
        <f>G41+G43</f>
        <v>2847.4299571616775</v>
      </c>
      <c r="H44" s="89">
        <f t="shared" ref="H44:AI44" si="25">H41+H43</f>
        <v>2995.7727570909219</v>
      </c>
      <c r="I44" s="89">
        <f t="shared" si="25"/>
        <v>3148.7331230048912</v>
      </c>
      <c r="J44" s="91">
        <f t="shared" si="25"/>
        <v>3306.5139573281731</v>
      </c>
      <c r="K44" s="89">
        <f t="shared" si="25"/>
        <v>3469.3296243460782</v>
      </c>
      <c r="L44" s="89">
        <f t="shared" si="25"/>
        <v>3637.4066752888784</v>
      </c>
      <c r="M44" s="89">
        <f t="shared" si="25"/>
        <v>3810.9846211255153</v>
      </c>
      <c r="N44" s="89">
        <f t="shared" si="25"/>
        <v>3990.3167562449576</v>
      </c>
      <c r="O44" s="89">
        <f t="shared" si="25"/>
        <v>4175.6710364159208</v>
      </c>
      <c r="P44" s="89">
        <f t="shared" si="25"/>
        <v>4367.33101464231</v>
      </c>
      <c r="Q44" s="89">
        <f t="shared" si="25"/>
        <v>4565.5968387737803</v>
      </c>
      <c r="R44" s="89">
        <f t="shared" si="25"/>
        <v>4770.7863149888117</v>
      </c>
      <c r="S44" s="89">
        <f t="shared" si="25"/>
        <v>4983.2360415431122</v>
      </c>
      <c r="T44" s="91">
        <f t="shared" si="25"/>
        <v>5203.3026174700208</v>
      </c>
      <c r="U44" s="89">
        <f t="shared" si="25"/>
        <v>5431.3639312329988</v>
      </c>
      <c r="V44" s="89">
        <f t="shared" si="25"/>
        <v>5667.8205346648529</v>
      </c>
      <c r="W44" s="89">
        <f t="shared" si="25"/>
        <v>5913.0971078851271</v>
      </c>
      <c r="X44" s="89">
        <f t="shared" si="25"/>
        <v>6167.6440212679236</v>
      </c>
      <c r="Y44" s="89">
        <f t="shared" si="25"/>
        <v>6431.9390009386434</v>
      </c>
      <c r="Z44" s="89">
        <f t="shared" si="25"/>
        <v>6706.4889047115748</v>
      </c>
      <c r="AA44" s="89">
        <f t="shared" si="25"/>
        <v>6991.8316158427642</v>
      </c>
      <c r="AB44" s="89">
        <f t="shared" si="25"/>
        <v>7288.5380624660074</v>
      </c>
      <c r="AC44" s="89">
        <f t="shared" si="25"/>
        <v>7597.21437110632</v>
      </c>
      <c r="AD44" s="89">
        <f t="shared" si="25"/>
        <v>7918.5041632269058</v>
      </c>
      <c r="AE44" s="89">
        <f t="shared" si="25"/>
        <v>8253.0910043650802</v>
      </c>
      <c r="AF44" s="89">
        <f t="shared" si="25"/>
        <v>8601.7010160519058</v>
      </c>
      <c r="AG44" s="89">
        <f t="shared" si="25"/>
        <v>8965.1056613928158</v>
      </c>
      <c r="AH44" s="89">
        <f t="shared" si="25"/>
        <v>9344.1247159142204</v>
      </c>
      <c r="AI44" s="92">
        <f t="shared" si="25"/>
        <v>9739.6294360579705</v>
      </c>
    </row>
    <row r="45" spans="2:35">
      <c r="B45" s="103" t="s">
        <v>20</v>
      </c>
      <c r="C45" s="104"/>
      <c r="D45" s="105"/>
      <c r="E45" s="52"/>
      <c r="F45" s="106">
        <f>F44/H9</f>
        <v>0.13688671404048333</v>
      </c>
      <c r="G45" s="107">
        <f>G44/H9</f>
        <v>0.14417366871704695</v>
      </c>
      <c r="H45" s="107">
        <f>H44/H9</f>
        <v>0.15168469656156566</v>
      </c>
      <c r="I45" s="107">
        <f>I44/H9</f>
        <v>0.15942952521543752</v>
      </c>
      <c r="J45" s="108">
        <f>J44/H9</f>
        <v>0.16741842821914801</v>
      </c>
      <c r="K45" s="107">
        <f>K44/H9</f>
        <v>0.17566225946056091</v>
      </c>
      <c r="L45" s="107">
        <f>L44/H9</f>
        <v>0.18417248988804447</v>
      </c>
      <c r="M45" s="107">
        <f>M44/H9</f>
        <v>0.19296124663926659</v>
      </c>
      <c r="N45" s="107">
        <f>N44/H9</f>
        <v>0.20204135474658014</v>
      </c>
      <c r="O45" s="107">
        <f>O44/H9</f>
        <v>0.21142638159067953</v>
      </c>
      <c r="P45" s="107">
        <f>P44/H9</f>
        <v>0.22113068428568658</v>
      </c>
      <c r="Q45" s="107">
        <f>Q44/H9</f>
        <v>0.23116946019107748</v>
      </c>
      <c r="R45" s="107">
        <f>R44/H9</f>
        <v>0.24155880075892716</v>
      </c>
      <c r="S45" s="107">
        <f>S44/H9</f>
        <v>0.25231574893889175</v>
      </c>
      <c r="T45" s="108">
        <f>T44/H9</f>
        <v>0.2634583603782289</v>
      </c>
      <c r="U45" s="107">
        <f>U44/H9</f>
        <v>0.27500576867002524</v>
      </c>
      <c r="V45" s="107">
        <f>V44/H9</f>
        <v>0.28697825491973938</v>
      </c>
      <c r="W45" s="107">
        <f>W44/H9</f>
        <v>0.29939732191823426</v>
      </c>
      <c r="X45" s="107">
        <f>X44/H9</f>
        <v>0.31228577322875561</v>
      </c>
      <c r="Y45" s="107">
        <f>Y44/H9</f>
        <v>0.32566779751588065</v>
      </c>
      <c r="Z45" s="107">
        <f>Z44/H9</f>
        <v>0.33956905846640884</v>
      </c>
      <c r="AA45" s="107">
        <f>AA44/H9</f>
        <v>0.354016790675583</v>
      </c>
      <c r="AB45" s="107">
        <f>AB44/H9</f>
        <v>0.36903990189701302</v>
      </c>
      <c r="AC45" s="107">
        <f>AC44/H9</f>
        <v>0.38466908208133266</v>
      </c>
      <c r="AD45" s="107">
        <f>AD44/H9</f>
        <v>0.40093691965705852</v>
      </c>
      <c r="AE45" s="107">
        <f>AE44/H9</f>
        <v>0.41787802553747239</v>
      </c>
      <c r="AF45" s="107">
        <f>AF44/H9</f>
        <v>0.43552916536971675</v>
      </c>
      <c r="AG45" s="107">
        <f>AG44/H9</f>
        <v>0.45392940057685144</v>
      </c>
      <c r="AH45" s="107">
        <f>AH44/H9</f>
        <v>0.47312023878046683</v>
      </c>
      <c r="AI45" s="109">
        <f>AI44/H9</f>
        <v>0.49314579423078331</v>
      </c>
    </row>
    <row r="46" spans="2:35">
      <c r="E46" s="110"/>
      <c r="F46" s="111"/>
      <c r="G46" s="110"/>
      <c r="H46" s="110"/>
      <c r="I46" s="110"/>
      <c r="J46" s="112"/>
      <c r="K46" s="110"/>
      <c r="L46" s="110"/>
      <c r="M46" s="110"/>
      <c r="N46" s="110"/>
      <c r="O46" s="110"/>
      <c r="U46" s="113"/>
    </row>
    <row r="47" spans="2:35">
      <c r="B47" s="114" t="s">
        <v>80</v>
      </c>
      <c r="C47" s="115"/>
      <c r="D47" s="116"/>
      <c r="E47" s="116"/>
      <c r="F47" s="117">
        <f>F39/F40</f>
        <v>1.6627215699914806</v>
      </c>
      <c r="G47" s="118">
        <f t="shared" ref="G47:AE47" si="26">G39/G40</f>
        <v>1.6959760013913101</v>
      </c>
      <c r="H47" s="118">
        <f t="shared" si="26"/>
        <v>1.7298955214191365</v>
      </c>
      <c r="I47" s="118">
        <f t="shared" si="26"/>
        <v>1.7644934318475189</v>
      </c>
      <c r="J47" s="119">
        <f t="shared" si="26"/>
        <v>1.7997833004844697</v>
      </c>
      <c r="K47" s="118">
        <f t="shared" si="26"/>
        <v>1.8357789664941591</v>
      </c>
      <c r="L47" s="118">
        <f t="shared" si="26"/>
        <v>1.8724945458240423</v>
      </c>
      <c r="M47" s="118">
        <f t="shared" si="26"/>
        <v>1.9099444367405236</v>
      </c>
      <c r="N47" s="118">
        <f t="shared" si="26"/>
        <v>1.9481433254753333</v>
      </c>
      <c r="O47" s="118">
        <f t="shared" si="26"/>
        <v>1.9871061919848401</v>
      </c>
      <c r="P47" s="118">
        <f t="shared" si="26"/>
        <v>2.026848315824537</v>
      </c>
      <c r="Q47" s="118">
        <f t="shared" si="26"/>
        <v>2.0673852821410277</v>
      </c>
      <c r="R47" s="118">
        <f t="shared" si="26"/>
        <v>2.1087329877838479</v>
      </c>
      <c r="S47" s="118">
        <f t="shared" si="26"/>
        <v>2.1509076475395248</v>
      </c>
      <c r="T47" s="119">
        <f t="shared" si="26"/>
        <v>2.1939258004903159</v>
      </c>
      <c r="U47" s="120">
        <f t="shared" si="26"/>
        <v>2.2378043165001222</v>
      </c>
      <c r="V47" s="118">
        <f t="shared" si="26"/>
        <v>2.2825604028301245</v>
      </c>
      <c r="W47" s="118">
        <f t="shared" si="26"/>
        <v>2.3282116108867275</v>
      </c>
      <c r="X47" s="118">
        <f t="shared" si="26"/>
        <v>2.3747758431044619</v>
      </c>
      <c r="Y47" s="118">
        <f t="shared" si="26"/>
        <v>2.4222713599665511</v>
      </c>
      <c r="Z47" s="118">
        <f t="shared" si="26"/>
        <v>2.4707167871658817</v>
      </c>
      <c r="AA47" s="118">
        <f t="shared" si="26"/>
        <v>2.5201311229091998</v>
      </c>
      <c r="AB47" s="118">
        <f t="shared" si="26"/>
        <v>2.5705337453673835</v>
      </c>
      <c r="AC47" s="118">
        <f t="shared" si="26"/>
        <v>2.6219444202747315</v>
      </c>
      <c r="AD47" s="118">
        <f t="shared" si="26"/>
        <v>2.6743833086802256</v>
      </c>
      <c r="AE47" s="118">
        <f t="shared" si="26"/>
        <v>2.7278709748538299</v>
      </c>
      <c r="AF47" s="118">
        <f>AF39/AF40</f>
        <v>2.7824283943509065</v>
      </c>
      <c r="AG47" s="118">
        <f>AG39/AG40</f>
        <v>2.8380769622379249</v>
      </c>
      <c r="AH47" s="118">
        <f>AH39/AH40</f>
        <v>2.8948385014826838</v>
      </c>
      <c r="AI47" s="121">
        <f>AI39/AI40</f>
        <v>2.9527352715123367</v>
      </c>
    </row>
    <row r="48" spans="2:35">
      <c r="B48" s="161"/>
      <c r="C48" s="16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T48" s="57"/>
      <c r="U48" s="57"/>
    </row>
    <row r="49" spans="2:35">
      <c r="B49" s="22"/>
    </row>
    <row r="50" spans="2:35">
      <c r="B50" s="22" t="s">
        <v>81</v>
      </c>
      <c r="F50" s="122">
        <f>F43</f>
        <v>491.79920634240568</v>
      </c>
      <c r="G50" s="122">
        <f t="shared" ref="G50:AI50" si="27">G43+F50</f>
        <v>1016.5351163469435</v>
      </c>
      <c r="H50" s="122">
        <f t="shared" si="27"/>
        <v>1576.4135620567254</v>
      </c>
      <c r="I50" s="122">
        <f t="shared" si="27"/>
        <v>2173.788104171997</v>
      </c>
      <c r="J50" s="122">
        <f>J43+I50</f>
        <v>2811.1699257119003</v>
      </c>
      <c r="K50" s="122">
        <f t="shared" si="27"/>
        <v>3491.238388273086</v>
      </c>
      <c r="L50" s="122">
        <f t="shared" si="27"/>
        <v>4216.8522952605172</v>
      </c>
      <c r="M50" s="122">
        <f>M43+L50</f>
        <v>4991.0619094376971</v>
      </c>
      <c r="N50" s="122">
        <f>N43+M50</f>
        <v>5817.1217753144974</v>
      </c>
      <c r="O50" s="122">
        <f t="shared" si="27"/>
        <v>6698.5044002740397</v>
      </c>
      <c r="P50" s="122">
        <f t="shared" si="27"/>
        <v>7638.9148519499868</v>
      </c>
      <c r="Q50" s="122">
        <f>Q43+P50</f>
        <v>8642.3063332172205</v>
      </c>
      <c r="R50" s="122">
        <f t="shared" si="27"/>
        <v>9712.8968002684978</v>
      </c>
      <c r="S50" s="122">
        <f t="shared" si="27"/>
        <v>10855.186693634467</v>
      </c>
      <c r="T50" s="122">
        <f t="shared" si="27"/>
        <v>12073.977856682943</v>
      </c>
      <c r="U50" s="122">
        <f t="shared" si="27"/>
        <v>13374.393721125109</v>
      </c>
      <c r="V50" s="122">
        <f t="shared" si="27"/>
        <v>14761.900844382457</v>
      </c>
      <c r="W50" s="122">
        <f t="shared" si="27"/>
        <v>16242.33188935107</v>
      </c>
      <c r="X50" s="122">
        <f t="shared" si="27"/>
        <v>17821.910143163292</v>
      </c>
      <c r="Y50" s="122">
        <f t="shared" si="27"/>
        <v>19507.275678016264</v>
      </c>
      <c r="Z50" s="122">
        <f t="shared" si="27"/>
        <v>21305.513264039597</v>
      </c>
      <c r="AA50" s="122">
        <f t="shared" si="27"/>
        <v>23224.182151539495</v>
      </c>
      <c r="AB50" s="122">
        <f t="shared" si="27"/>
        <v>25271.347847814923</v>
      </c>
      <c r="AC50" s="122">
        <f t="shared" si="27"/>
        <v>27455.616022125992</v>
      </c>
      <c r="AD50" s="122">
        <f t="shared" si="27"/>
        <v>29786.168681340889</v>
      </c>
      <c r="AE50" s="122">
        <f t="shared" si="27"/>
        <v>32272.802768332862</v>
      </c>
      <c r="AF50" s="122">
        <f t="shared" si="27"/>
        <v>34925.971345383339</v>
      </c>
      <c r="AG50" s="122">
        <f t="shared" si="27"/>
        <v>37756.827535713841</v>
      </c>
      <c r="AH50" s="122">
        <f t="shared" si="27"/>
        <v>40777.271407863642</v>
      </c>
      <c r="AI50" s="122">
        <f t="shared" si="27"/>
        <v>44000.000000001055</v>
      </c>
    </row>
    <row r="51" spans="2:35">
      <c r="B51" s="22" t="s">
        <v>82</v>
      </c>
      <c r="F51" s="123">
        <f>H4-F50</f>
        <v>43508.200793657597</v>
      </c>
      <c r="G51" s="123">
        <f>H4-G50</f>
        <v>42983.464883653054</v>
      </c>
      <c r="H51" s="123">
        <f>H4-H50</f>
        <v>42423.586437943275</v>
      </c>
      <c r="I51" s="123">
        <f>H4-I50</f>
        <v>41826.211895828004</v>
      </c>
      <c r="J51" s="123">
        <f>H4-J50</f>
        <v>41188.830074288097</v>
      </c>
      <c r="K51" s="123">
        <f>H4-K50</f>
        <v>40508.761611726914</v>
      </c>
      <c r="L51" s="123">
        <f>H4-L50</f>
        <v>39783.14770473948</v>
      </c>
      <c r="M51" s="123">
        <f>H4-M50</f>
        <v>39008.938090562304</v>
      </c>
      <c r="N51" s="123">
        <f>H4-N50</f>
        <v>38182.878224685504</v>
      </c>
      <c r="O51" s="123">
        <f>H4-O50</f>
        <v>37301.49559972596</v>
      </c>
      <c r="P51" s="123">
        <f>H4-P50</f>
        <v>36361.085148050013</v>
      </c>
      <c r="Q51" s="123">
        <f>H4-Q50</f>
        <v>35357.693666782783</v>
      </c>
      <c r="R51" s="123">
        <f>H4-R50</f>
        <v>34287.1031997315</v>
      </c>
      <c r="S51" s="123">
        <f>H4-S50</f>
        <v>33144.813306365533</v>
      </c>
      <c r="T51" s="123">
        <f>H4-T50</f>
        <v>31926.022143317059</v>
      </c>
      <c r="U51" s="123">
        <f>H4-U50</f>
        <v>30625.60627887489</v>
      </c>
      <c r="V51" s="123">
        <f>H4-V50</f>
        <v>29238.099155617543</v>
      </c>
      <c r="W51" s="123">
        <f>H4-W50</f>
        <v>27757.66811064893</v>
      </c>
      <c r="X51" s="123">
        <f>H4-X50</f>
        <v>26178.089856836708</v>
      </c>
      <c r="Y51" s="123">
        <f>H4-Y50</f>
        <v>24492.724321983736</v>
      </c>
      <c r="Z51" s="123">
        <f>H4-Z50</f>
        <v>22694.486735960403</v>
      </c>
      <c r="AA51" s="123">
        <f>H4-AA50</f>
        <v>20775.817848460505</v>
      </c>
      <c r="AB51" s="123">
        <f>H4-AB50</f>
        <v>18728.652152185077</v>
      </c>
      <c r="AC51" s="123">
        <f>H4-AC50</f>
        <v>16544.383977874008</v>
      </c>
      <c r="AD51" s="123">
        <f>H4-AD50</f>
        <v>14213.831318659111</v>
      </c>
      <c r="AE51" s="123">
        <f>H4-AE50</f>
        <v>11727.197231667138</v>
      </c>
      <c r="AF51" s="123">
        <f>H4-AF50</f>
        <v>9074.0286546166608</v>
      </c>
      <c r="AG51" s="123">
        <f>H4-AG50</f>
        <v>6243.1724642861591</v>
      </c>
      <c r="AH51" s="123">
        <f>H4-AH50</f>
        <v>3222.7285921363582</v>
      </c>
      <c r="AI51" s="123">
        <f>H4-AI50</f>
        <v>-1.0550138540565968E-9</v>
      </c>
    </row>
    <row r="53" spans="2:35">
      <c r="W53" s="57"/>
      <c r="X53" s="57"/>
    </row>
  </sheetData>
  <mergeCells count="34">
    <mergeCell ref="B41:C41"/>
    <mergeCell ref="B43:C43"/>
    <mergeCell ref="B44:C44"/>
    <mergeCell ref="B48:C48"/>
    <mergeCell ref="B31:C31"/>
    <mergeCell ref="B32:C32"/>
    <mergeCell ref="B38:C38"/>
    <mergeCell ref="B39:C39"/>
    <mergeCell ref="B40:C40"/>
    <mergeCell ref="B26:C26"/>
    <mergeCell ref="B27:C27"/>
    <mergeCell ref="B28:C28"/>
    <mergeCell ref="B29:C29"/>
    <mergeCell ref="B30:C30"/>
    <mergeCell ref="B12:D12"/>
    <mergeCell ref="B13:D13"/>
    <mergeCell ref="B23:C23"/>
    <mergeCell ref="B24:C24"/>
    <mergeCell ref="B25:C25"/>
    <mergeCell ref="B7:C7"/>
    <mergeCell ref="J7:K7"/>
    <mergeCell ref="B8:C8"/>
    <mergeCell ref="J8:K8"/>
    <mergeCell ref="J9:K9"/>
    <mergeCell ref="B4:C4"/>
    <mergeCell ref="J4:K4"/>
    <mergeCell ref="B5:C5"/>
    <mergeCell ref="B6:C6"/>
    <mergeCell ref="J6:L6"/>
    <mergeCell ref="B2:D2"/>
    <mergeCell ref="F2:H2"/>
    <mergeCell ref="J2:L2"/>
    <mergeCell ref="B3:C3"/>
    <mergeCell ref="J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SFH 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Scott</dc:creator>
  <cp:lastModifiedBy>J Scott</cp:lastModifiedBy>
  <dcterms:created xsi:type="dcterms:W3CDTF">2009-09-12T22:14:43Z</dcterms:created>
  <dcterms:modified xsi:type="dcterms:W3CDTF">2010-11-27T04:26:21Z</dcterms:modified>
</cp:coreProperties>
</file>